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3GFS02\gkdata$\Energie\Medewerkers\Alexander Formsma\Fiscale maatregelen\"/>
    </mc:Choice>
  </mc:AlternateContent>
  <bookViews>
    <workbookView xWindow="0" yWindow="0" windowWidth="20460" windowHeight="6240"/>
  </bookViews>
  <sheets>
    <sheet name="Invoer en uitkomst" sheetId="2" r:id="rId1"/>
    <sheet name="Rekenblad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I26" i="1" l="1"/>
  <c r="H26" i="1"/>
  <c r="G26" i="1"/>
  <c r="F26" i="1"/>
  <c r="E26" i="1"/>
  <c r="D26" i="1"/>
  <c r="I24" i="1"/>
  <c r="H24" i="1"/>
  <c r="G24" i="1"/>
  <c r="F24" i="1"/>
  <c r="E24" i="1"/>
  <c r="D24" i="1"/>
  <c r="I11" i="1"/>
  <c r="H11" i="1"/>
  <c r="G11" i="1"/>
  <c r="F11" i="1"/>
  <c r="E11" i="1"/>
  <c r="B7" i="1"/>
  <c r="B4" i="1"/>
  <c r="E15" i="1" l="1"/>
  <c r="F15" i="1" s="1"/>
  <c r="G15" i="1" s="1"/>
  <c r="H15" i="1" s="1"/>
  <c r="B17" i="1"/>
  <c r="C17" i="1"/>
  <c r="D17" i="1"/>
  <c r="D25" i="1" s="1"/>
  <c r="E17" i="1"/>
  <c r="E25" i="1" s="1"/>
  <c r="F17" i="1"/>
  <c r="F25" i="1" s="1"/>
  <c r="G17" i="1"/>
  <c r="G25" i="1" s="1"/>
  <c r="H17" i="1"/>
  <c r="H25" i="1" s="1"/>
  <c r="I17" i="1"/>
  <c r="I25" i="1" s="1"/>
  <c r="F19" i="2" l="1"/>
  <c r="F18" i="2"/>
  <c r="F17" i="2"/>
  <c r="F16" i="2"/>
  <c r="F15" i="2"/>
  <c r="F14" i="2"/>
  <c r="C3" i="1"/>
  <c r="C28" i="1"/>
  <c r="C27" i="1"/>
  <c r="E27" i="1"/>
  <c r="E28" i="1"/>
  <c r="I28" i="1"/>
  <c r="I27" i="1"/>
  <c r="B13" i="2" l="1"/>
  <c r="B12" i="2"/>
  <c r="B43" i="1" l="1"/>
  <c r="B40" i="1"/>
  <c r="B42" i="1"/>
  <c r="B39" i="1"/>
  <c r="B41" i="1"/>
  <c r="C13" i="2"/>
  <c r="C43" i="1"/>
  <c r="C42" i="1"/>
  <c r="C41" i="1"/>
  <c r="C40" i="1"/>
  <c r="C39" i="1"/>
  <c r="D19" i="2"/>
  <c r="D18" i="2"/>
  <c r="D17" i="2"/>
  <c r="D16" i="2"/>
  <c r="D15" i="2"/>
  <c r="D14" i="2"/>
  <c r="D13" i="2"/>
  <c r="D12" i="2"/>
  <c r="C44" i="1" l="1"/>
  <c r="B44" i="1"/>
  <c r="F56" i="1"/>
  <c r="E56" i="1"/>
  <c r="G56" i="1"/>
  <c r="D56" i="1"/>
  <c r="C56" i="1"/>
  <c r="B56" i="1"/>
  <c r="I56" i="1"/>
  <c r="H56" i="1"/>
  <c r="I58" i="1"/>
  <c r="C55" i="1"/>
  <c r="B57" i="1"/>
  <c r="B55" i="1"/>
  <c r="I55" i="1"/>
  <c r="H55" i="1"/>
  <c r="G55" i="1"/>
  <c r="F55" i="1"/>
  <c r="E55" i="1"/>
  <c r="D55" i="1"/>
  <c r="E30" i="1" l="1"/>
  <c r="F30" i="1" s="1"/>
  <c r="G30" i="1" s="1"/>
  <c r="H30" i="1" s="1"/>
  <c r="B25" i="1" l="1"/>
  <c r="F27" i="1"/>
  <c r="G27" i="1"/>
  <c r="H27" i="1"/>
  <c r="F28" i="1"/>
  <c r="G28" i="1"/>
  <c r="H28" i="1"/>
  <c r="E23" i="1"/>
  <c r="F23" i="1" s="1"/>
  <c r="G23" i="1" s="1"/>
  <c r="H23" i="1" s="1"/>
  <c r="D27" i="1" l="1"/>
  <c r="G3" i="1" l="1"/>
  <c r="G7" i="1" l="1"/>
  <c r="G6" i="1"/>
  <c r="G5" i="1"/>
  <c r="G4" i="1"/>
  <c r="G8" i="1"/>
  <c r="B59" i="1"/>
  <c r="B58" i="1"/>
  <c r="D57" i="1"/>
  <c r="C59" i="1"/>
  <c r="C58" i="1"/>
  <c r="E57" i="1"/>
  <c r="D59" i="1"/>
  <c r="D58" i="1"/>
  <c r="F57" i="1"/>
  <c r="F58" i="1"/>
  <c r="H57" i="1"/>
  <c r="G59" i="1"/>
  <c r="G58" i="1"/>
  <c r="E59" i="1"/>
  <c r="E58" i="1"/>
  <c r="G57" i="1"/>
  <c r="F59" i="1"/>
  <c r="I57" i="1"/>
  <c r="C57" i="1"/>
  <c r="H59" i="1"/>
  <c r="H58" i="1"/>
  <c r="I59" i="1"/>
  <c r="B60" i="1" l="1"/>
  <c r="E12" i="2" s="1"/>
  <c r="G12" i="2" s="1"/>
  <c r="H12" i="2" s="1"/>
  <c r="C60" i="1"/>
  <c r="E13" i="2" s="1"/>
  <c r="G13" i="2" s="1"/>
  <c r="H13" i="2" s="1"/>
  <c r="D60" i="1"/>
  <c r="I60" i="1"/>
  <c r="H60" i="1"/>
  <c r="E60" i="1"/>
  <c r="G60" i="1"/>
  <c r="F60" i="1"/>
  <c r="D28" i="1"/>
  <c r="B28" i="1"/>
  <c r="B27" i="1"/>
  <c r="C4" i="1"/>
  <c r="C5" i="1" s="1"/>
  <c r="C6" i="1" s="1"/>
  <c r="I3" i="1" l="1"/>
  <c r="B6" i="2" s="1"/>
  <c r="C51" i="1"/>
  <c r="C47" i="1"/>
  <c r="C50" i="1"/>
  <c r="C49" i="1"/>
  <c r="C48" i="1"/>
  <c r="B48" i="1"/>
  <c r="B47" i="1"/>
  <c r="B49" i="1"/>
  <c r="B50" i="1"/>
  <c r="B51" i="1"/>
  <c r="C12" i="2"/>
  <c r="B5" i="1"/>
  <c r="B6" i="1" s="1"/>
  <c r="B14" i="2" l="1"/>
  <c r="D40" i="1" s="1"/>
  <c r="B15" i="2"/>
  <c r="B18" i="2"/>
  <c r="B19" i="2"/>
  <c r="B17" i="2"/>
  <c r="B16" i="2"/>
  <c r="C14" i="2" l="1"/>
  <c r="D41" i="1"/>
  <c r="D43" i="1"/>
  <c r="D42" i="1"/>
  <c r="D39" i="1"/>
  <c r="D44" i="1" l="1"/>
  <c r="E14" i="2" s="1"/>
  <c r="G14" i="2" s="1"/>
  <c r="H14" i="2" s="1"/>
  <c r="D48" i="1" s="1"/>
  <c r="B52" i="1"/>
  <c r="D49" i="1" l="1"/>
  <c r="D50" i="1"/>
  <c r="D51" i="1"/>
  <c r="D47" i="1"/>
  <c r="E41" i="1"/>
  <c r="E43" i="1"/>
  <c r="E42" i="1"/>
  <c r="E40" i="1"/>
  <c r="E39" i="1"/>
  <c r="C15" i="2"/>
  <c r="I40" i="1"/>
  <c r="I39" i="1"/>
  <c r="C19" i="2"/>
  <c r="I43" i="1"/>
  <c r="I42" i="1"/>
  <c r="I41" i="1"/>
  <c r="C52" i="1"/>
  <c r="B8" i="1"/>
  <c r="D52" i="1" l="1"/>
  <c r="I44" i="1"/>
  <c r="E19" i="2" s="1"/>
  <c r="G19" i="2" s="1"/>
  <c r="H19" i="2" s="1"/>
  <c r="E44" i="1"/>
  <c r="E15" i="2" s="1"/>
  <c r="G15" i="2" s="1"/>
  <c r="H15" i="2" s="1"/>
  <c r="E50" i="1" s="1"/>
  <c r="E51" i="1" l="1"/>
  <c r="I49" i="1"/>
  <c r="I51" i="1"/>
  <c r="I50" i="1"/>
  <c r="I48" i="1"/>
  <c r="I47" i="1"/>
  <c r="E49" i="1"/>
  <c r="E47" i="1"/>
  <c r="E48" i="1"/>
  <c r="F39" i="1"/>
  <c r="F43" i="1"/>
  <c r="F42" i="1"/>
  <c r="F41" i="1"/>
  <c r="C16" i="2"/>
  <c r="F40" i="1"/>
  <c r="E52" i="1" l="1"/>
  <c r="I52" i="1"/>
  <c r="G42" i="1"/>
  <c r="C17" i="2"/>
  <c r="G41" i="1"/>
  <c r="G39" i="1"/>
  <c r="G40" i="1"/>
  <c r="G43" i="1"/>
  <c r="F44" i="1"/>
  <c r="E16" i="2" s="1"/>
  <c r="G16" i="2" s="1"/>
  <c r="H16" i="2" s="1"/>
  <c r="F48" i="1" l="1"/>
  <c r="F47" i="1"/>
  <c r="F51" i="1"/>
  <c r="F50" i="1"/>
  <c r="F49" i="1"/>
  <c r="G44" i="1"/>
  <c r="E17" i="2" s="1"/>
  <c r="G17" i="2" s="1"/>
  <c r="H17" i="2" s="1"/>
  <c r="C18" i="2"/>
  <c r="H42" i="1"/>
  <c r="H43" i="1"/>
  <c r="H41" i="1"/>
  <c r="H40" i="1"/>
  <c r="H39" i="1"/>
  <c r="G49" i="1" l="1"/>
  <c r="G51" i="1"/>
  <c r="G48" i="1"/>
  <c r="G50" i="1"/>
  <c r="G47" i="1"/>
  <c r="F52" i="1"/>
  <c r="H44" i="1"/>
  <c r="E18" i="2" s="1"/>
  <c r="G18" i="2" s="1"/>
  <c r="H18" i="2" s="1"/>
  <c r="H48" i="1" l="1"/>
  <c r="H47" i="1"/>
  <c r="H51" i="1"/>
  <c r="H50" i="1"/>
  <c r="H49" i="1"/>
  <c r="G52" i="1"/>
  <c r="H52" i="1" l="1"/>
</calcChain>
</file>

<file path=xl/sharedStrings.xml><?xml version="1.0" encoding="utf-8"?>
<sst xmlns="http://schemas.openxmlformats.org/spreadsheetml/2006/main" count="91" uniqueCount="68">
  <si>
    <t>170k-1M</t>
  </si>
  <si>
    <t>1-10M</t>
  </si>
  <si>
    <t>&gt;10M</t>
  </si>
  <si>
    <t>MJ gas per geproduceerde kWh elektra</t>
  </si>
  <si>
    <t>m3(0) gas per geproduceerde MWh elektra</t>
  </si>
  <si>
    <t xml:space="preserve">elektrisch rendement </t>
  </si>
  <si>
    <t>WKK</t>
  </si>
  <si>
    <t>EB (incl ODE) gas</t>
  </si>
  <si>
    <t>EB (incl ODE) elektriciteit</t>
  </si>
  <si>
    <t>10-50MWh</t>
  </si>
  <si>
    <t>50-10.000MWh</t>
  </si>
  <si>
    <t>&gt;10 GWh</t>
  </si>
  <si>
    <t>(m3)</t>
  </si>
  <si>
    <t>(MWh)</t>
  </si>
  <si>
    <t>normaal</t>
  </si>
  <si>
    <t>verlaagd</t>
  </si>
  <si>
    <t>vrijgesteld verlies in m3(0)per geproduc MWh elektra</t>
  </si>
  <si>
    <t>energieinhoud van 1 MWh uitgedrukt in m3 gas</t>
  </si>
  <si>
    <t>[ct/m3]</t>
  </si>
  <si>
    <t>gasverbruik in kWh per geproduceerde kWh elektra</t>
  </si>
  <si>
    <t>tot 1000m3</t>
  </si>
  <si>
    <t>1000-170k</t>
  </si>
  <si>
    <t>&lt;2,9MWh</t>
  </si>
  <si>
    <t>2,9-10MWh</t>
  </si>
  <si>
    <t>schijf 1</t>
  </si>
  <si>
    <t>schijf 2</t>
  </si>
  <si>
    <t>schijf 3</t>
  </si>
  <si>
    <t>schijf 4</t>
  </si>
  <si>
    <t>schijf 5</t>
  </si>
  <si>
    <t>totaal EB gas</t>
  </si>
  <si>
    <t>totaal EB elektra</t>
  </si>
  <si>
    <t>EB elektra</t>
  </si>
  <si>
    <t>Gasverbruik (m3)</t>
  </si>
  <si>
    <t>Belast</t>
  </si>
  <si>
    <t>Elektraverbruik (MWh)</t>
  </si>
  <si>
    <t>Energiebelasting / jaar</t>
  </si>
  <si>
    <t>Gasverbruik in %</t>
  </si>
  <si>
    <t>Rekentool</t>
  </si>
  <si>
    <t>teruglevering</t>
  </si>
  <si>
    <t>eigen verbruik</t>
  </si>
  <si>
    <t>vrijgesteld gasverbruik m3 per geproduceerde MWh</t>
  </si>
  <si>
    <t>CO2 heffing glastuinbouw / jaar</t>
  </si>
  <si>
    <t>normatieve m3(0) gas per geproduceerde MWh elektriciteit per jaar</t>
  </si>
  <si>
    <t>CO2 sectorheffing glastuinbouw (in €/ton CO2)</t>
  </si>
  <si>
    <t>elektriciteitsproductie WKK</t>
  </si>
  <si>
    <t>MWh</t>
  </si>
  <si>
    <t>Elektriciteit geproduceerd</t>
  </si>
  <si>
    <t>EB gas volgens Glastuinbouw NL</t>
  </si>
  <si>
    <t>EB gas volgens wetsvoorstel</t>
  </si>
  <si>
    <t>Elektrisch rendement  WKK (bovenwaarde)</t>
  </si>
  <si>
    <t>Gasverbruik WKK</t>
  </si>
  <si>
    <t>Gasverbruik ketel</t>
  </si>
  <si>
    <t>Elektriciteit ingekocht van net</t>
  </si>
  <si>
    <t>Elektriciteit aan het net geleverd</t>
  </si>
  <si>
    <t>Invulkolom</t>
  </si>
  <si>
    <t>eenheid</t>
  </si>
  <si>
    <t>Jaartal</t>
  </si>
  <si>
    <t>Referentie in wetsvoorstel</t>
  </si>
  <si>
    <t>Totaal/jaar</t>
  </si>
  <si>
    <t>Per m2/jaar</t>
  </si>
  <si>
    <t>Oppervlakte</t>
  </si>
  <si>
    <t>(m2)</t>
  </si>
  <si>
    <t>Om de tool te gebruiken vult u alleen de groene velden in op dit tabblad. Het tabblad</t>
  </si>
  <si>
    <t>kan gebruikt worden om de impact voor uw situatie te berekenen.</t>
  </si>
  <si>
    <t>"Rekenblad" bevat de achterliggende berekeningen en gegevens en kan niet gebruikt</t>
  </si>
  <si>
    <t>worden. Dit is de versie van 17 september 2024.</t>
  </si>
  <si>
    <t>Dit is een rekentool die gebaseerd is op het wetsvoorstel die geupdate is op basis van</t>
  </si>
  <si>
    <t>Prinsjesdag 2024 inclusief. De rekentool is de interpretatie van Glastuinbouw Nederland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</si>
</sst>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"/>
    <numFmt numFmtId="165" formatCode="0.000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2" fontId="0" fillId="0" borderId="7" xfId="0" applyNumberForma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2" fontId="0" fillId="0" borderId="2" xfId="0" applyNumberFormat="1" applyBorder="1"/>
    <xf numFmtId="0" fontId="0" fillId="0" borderId="7" xfId="0" applyBorder="1"/>
    <xf numFmtId="0" fontId="0" fillId="0" borderId="10" xfId="0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" xfId="0" applyBorder="1"/>
    <xf numFmtId="0" fontId="0" fillId="0" borderId="12" xfId="0" applyBorder="1"/>
    <xf numFmtId="0" fontId="2" fillId="0" borderId="8" xfId="0" applyFont="1" applyBorder="1"/>
    <xf numFmtId="0" fontId="2" fillId="0" borderId="9" xfId="0" applyFont="1" applyBorder="1"/>
    <xf numFmtId="2" fontId="3" fillId="0" borderId="5" xfId="0" applyNumberFormat="1" applyFont="1" applyBorder="1"/>
    <xf numFmtId="0" fontId="2" fillId="0" borderId="7" xfId="0" applyFont="1" applyBorder="1"/>
    <xf numFmtId="0" fontId="0" fillId="0" borderId="11" xfId="0" applyBorder="1"/>
    <xf numFmtId="0" fontId="0" fillId="0" borderId="12" xfId="0" quotePrefix="1" applyBorder="1"/>
    <xf numFmtId="9" fontId="0" fillId="0" borderId="0" xfId="0" applyNumberFormat="1"/>
    <xf numFmtId="164" fontId="0" fillId="0" borderId="13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4" xfId="0" applyNumberFormat="1" applyBorder="1"/>
    <xf numFmtId="1" fontId="0" fillId="0" borderId="5" xfId="0" applyNumberFormat="1" applyBorder="1"/>
    <xf numFmtId="0" fontId="4" fillId="0" borderId="3" xfId="0" applyFont="1" applyBorder="1"/>
    <xf numFmtId="165" fontId="4" fillId="0" borderId="8" xfId="0" applyNumberFormat="1" applyFont="1" applyBorder="1"/>
    <xf numFmtId="0" fontId="4" fillId="0" borderId="0" xfId="0" applyFont="1"/>
    <xf numFmtId="0" fontId="4" fillId="0" borderId="8" xfId="0" applyFont="1" applyBorder="1"/>
    <xf numFmtId="2" fontId="4" fillId="0" borderId="3" xfId="0" applyNumberFormat="1" applyFont="1" applyBorder="1"/>
    <xf numFmtId="2" fontId="4" fillId="0" borderId="4" xfId="0" applyNumberFormat="1" applyFont="1" applyBorder="1"/>
    <xf numFmtId="165" fontId="4" fillId="0" borderId="6" xfId="0" applyNumberFormat="1" applyFont="1" applyBorder="1"/>
    <xf numFmtId="165" fontId="4" fillId="0" borderId="9" xfId="0" applyNumberFormat="1" applyFont="1" applyBorder="1"/>
    <xf numFmtId="165" fontId="4" fillId="0" borderId="3" xfId="0" applyNumberFormat="1" applyFont="1" applyBorder="1"/>
    <xf numFmtId="2" fontId="4" fillId="0" borderId="0" xfId="0" applyNumberFormat="1" applyFont="1"/>
    <xf numFmtId="2" fontId="4" fillId="0" borderId="6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9" fontId="3" fillId="0" borderId="11" xfId="0" applyNumberFormat="1" applyFont="1" applyBorder="1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/>
    <xf numFmtId="9" fontId="3" fillId="0" borderId="5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4" xfId="0" applyBorder="1"/>
    <xf numFmtId="165" fontId="4" fillId="0" borderId="0" xfId="0" applyNumberFormat="1" applyFont="1"/>
    <xf numFmtId="2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6" fillId="0" borderId="0" xfId="0" applyFont="1"/>
    <xf numFmtId="10" fontId="6" fillId="0" borderId="0" xfId="0" applyNumberFormat="1" applyFont="1"/>
    <xf numFmtId="10" fontId="0" fillId="0" borderId="0" xfId="0" applyNumberFormat="1"/>
    <xf numFmtId="2" fontId="6" fillId="0" borderId="0" xfId="0" applyNumberFormat="1" applyFont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9" xfId="0" applyFont="1" applyBorder="1"/>
    <xf numFmtId="0" fontId="2" fillId="0" borderId="22" xfId="0" applyFont="1" applyBorder="1"/>
    <xf numFmtId="0" fontId="7" fillId="0" borderId="1" xfId="0" applyFont="1" applyBorder="1"/>
    <xf numFmtId="0" fontId="0" fillId="0" borderId="1" xfId="0" applyBorder="1" applyProtection="1">
      <protection locked="0"/>
    </xf>
    <xf numFmtId="3" fontId="3" fillId="2" borderId="1" xfId="0" applyNumberFormat="1" applyFont="1" applyFill="1" applyBorder="1" applyProtection="1">
      <protection locked="0"/>
    </xf>
    <xf numFmtId="0" fontId="2" fillId="0" borderId="27" xfId="0" applyFont="1" applyBorder="1"/>
    <xf numFmtId="0" fontId="2" fillId="0" borderId="1" xfId="0" applyFont="1" applyBorder="1" applyAlignment="1">
      <alignment horizontal="right"/>
    </xf>
    <xf numFmtId="0" fontId="7" fillId="0" borderId="27" xfId="0" applyFont="1" applyBorder="1"/>
    <xf numFmtId="0" fontId="0" fillId="0" borderId="25" xfId="0" applyBorder="1"/>
    <xf numFmtId="0" fontId="0" fillId="0" borderId="0" xfId="0" applyProtection="1">
      <protection locked="0"/>
    </xf>
    <xf numFmtId="0" fontId="0" fillId="0" borderId="29" xfId="0" applyBorder="1"/>
    <xf numFmtId="0" fontId="0" fillId="0" borderId="21" xfId="0" applyBorder="1" applyAlignment="1">
      <alignment horizontal="left"/>
    </xf>
    <xf numFmtId="0" fontId="0" fillId="0" borderId="24" xfId="0" applyBorder="1"/>
    <xf numFmtId="0" fontId="0" fillId="0" borderId="26" xfId="0" applyBorder="1"/>
    <xf numFmtId="2" fontId="8" fillId="0" borderId="5" xfId="0" applyNumberFormat="1" applyFont="1" applyBorder="1"/>
    <xf numFmtId="1" fontId="8" fillId="0" borderId="2" xfId="0" applyNumberFormat="1" applyFont="1" applyBorder="1"/>
    <xf numFmtId="1" fontId="8" fillId="0" borderId="5" xfId="0" applyNumberFormat="1" applyFont="1" applyBorder="1"/>
    <xf numFmtId="1" fontId="8" fillId="0" borderId="7" xfId="0" applyNumberFormat="1" applyFont="1" applyBorder="1"/>
    <xf numFmtId="2" fontId="8" fillId="0" borderId="1" xfId="0" applyNumberFormat="1" applyFont="1" applyBorder="1"/>
    <xf numFmtId="1" fontId="8" fillId="0" borderId="1" xfId="0" applyNumberFormat="1" applyFont="1" applyBorder="1"/>
    <xf numFmtId="0" fontId="8" fillId="0" borderId="1" xfId="0" applyFont="1" applyBorder="1"/>
    <xf numFmtId="165" fontId="8" fillId="0" borderId="3" xfId="0" applyNumberFormat="1" applyFont="1" applyBorder="1"/>
    <xf numFmtId="165" fontId="8" fillId="0" borderId="4" xfId="0" applyNumberFormat="1" applyFont="1" applyBorder="1"/>
    <xf numFmtId="165" fontId="8" fillId="0" borderId="0" xfId="0" applyNumberFormat="1" applyFont="1"/>
    <xf numFmtId="0" fontId="0" fillId="0" borderId="0" xfId="0" applyBorder="1"/>
    <xf numFmtId="3" fontId="0" fillId="0" borderId="0" xfId="0" applyNumberFormat="1" applyBorder="1"/>
    <xf numFmtId="9" fontId="0" fillId="0" borderId="0" xfId="1" applyFont="1" applyBorder="1"/>
    <xf numFmtId="164" fontId="0" fillId="0" borderId="0" xfId="0" applyNumberFormat="1" applyBorder="1"/>
    <xf numFmtId="9" fontId="0" fillId="0" borderId="25" xfId="1" applyFont="1" applyBorder="1"/>
    <xf numFmtId="3" fontId="0" fillId="3" borderId="1" xfId="0" applyNumberFormat="1" applyFill="1" applyBorder="1"/>
    <xf numFmtId="9" fontId="0" fillId="3" borderId="1" xfId="1" applyFont="1" applyFill="1" applyBorder="1"/>
    <xf numFmtId="164" fontId="0" fillId="3" borderId="12" xfId="0" applyNumberFormat="1" applyFill="1" applyBorder="1"/>
    <xf numFmtId="0" fontId="0" fillId="3" borderId="7" xfId="0" applyFill="1" applyBorder="1"/>
    <xf numFmtId="164" fontId="0" fillId="3" borderId="7" xfId="0" applyNumberFormat="1" applyFill="1" applyBorder="1"/>
    <xf numFmtId="166" fontId="0" fillId="3" borderId="12" xfId="0" applyNumberFormat="1" applyFill="1" applyBorder="1"/>
    <xf numFmtId="164" fontId="0" fillId="3" borderId="1" xfId="0" applyNumberFormat="1" applyFill="1" applyBorder="1"/>
    <xf numFmtId="0" fontId="0" fillId="3" borderId="27" xfId="0" applyFill="1" applyBorder="1"/>
    <xf numFmtId="164" fontId="0" fillId="3" borderId="27" xfId="0" applyNumberFormat="1" applyFill="1" applyBorder="1"/>
    <xf numFmtId="166" fontId="0" fillId="3" borderId="1" xfId="0" applyNumberFormat="1" applyFill="1" applyBorder="1"/>
    <xf numFmtId="3" fontId="3" fillId="3" borderId="1" xfId="0" applyNumberFormat="1" applyFont="1" applyFill="1" applyBorder="1"/>
    <xf numFmtId="3" fontId="3" fillId="3" borderId="23" xfId="0" applyNumberFormat="1" applyFont="1" applyFill="1" applyBorder="1"/>
    <xf numFmtId="9" fontId="0" fillId="3" borderId="23" xfId="1" applyFont="1" applyFill="1" applyBorder="1"/>
    <xf numFmtId="3" fontId="0" fillId="3" borderId="23" xfId="0" applyNumberFormat="1" applyFill="1" applyBorder="1"/>
    <xf numFmtId="164" fontId="0" fillId="3" borderId="23" xfId="0" applyNumberFormat="1" applyFill="1" applyBorder="1"/>
    <xf numFmtId="164" fontId="0" fillId="3" borderId="28" xfId="0" applyNumberFormat="1" applyFill="1" applyBorder="1"/>
    <xf numFmtId="166" fontId="0" fillId="3" borderId="23" xfId="0" applyNumberFormat="1" applyFill="1" applyBorder="1"/>
    <xf numFmtId="9" fontId="3" fillId="3" borderId="16" xfId="0" applyNumberFormat="1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687456</xdr:colOff>
      <xdr:row>8</xdr:row>
      <xdr:rowOff>57977</xdr:rowOff>
    </xdr:from>
    <xdr:to>
      <xdr:col>9</xdr:col>
      <xdr:colOff>1217543</xdr:colOff>
      <xdr:row>16</xdr:row>
      <xdr:rowOff>91108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6543" y="1789042"/>
          <a:ext cx="1557131" cy="1557131"/>
        </a:xfrm>
        <a:prstGeom prst="rect">
          <a:avLst/>
        </a:prstGeom>
      </xdr:spPr>
    </xdr:pic>
    <xdr:clientData/>
  </xdr:twoCellAnchor>
  <xdr:twoCellAnchor editAs="oneCell">
    <xdr:from>
      <xdr:col>8</xdr:col>
      <xdr:colOff>167102</xdr:colOff>
      <xdr:row>1</xdr:row>
      <xdr:rowOff>74544</xdr:rowOff>
    </xdr:from>
    <xdr:to>
      <xdr:col>10</xdr:col>
      <xdr:colOff>472110</xdr:colOff>
      <xdr:row>8</xdr:row>
      <xdr:rowOff>728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6189" y="463827"/>
          <a:ext cx="2657269" cy="1267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="115" zoomScaleNormal="115" workbookViewId="0">
      <selection activeCell="D8" sqref="D8"/>
    </sheetView>
  </sheetViews>
  <sheetFormatPr defaultRowHeight="14.4" x14ac:dyDescent="0.3"/>
  <cols>
    <col min="1" max="1" width="36.6640625" bestFit="1" customWidth="1"/>
    <col min="2" max="2" width="15.5546875" bestFit="1" customWidth="1"/>
    <col min="3" max="3" width="15" bestFit="1" customWidth="1"/>
    <col min="4" max="4" width="20.44140625" bestFit="1" customWidth="1"/>
    <col min="5" max="5" width="21.109375" customWidth="1"/>
    <col min="6" max="6" width="28.88671875" customWidth="1"/>
    <col min="7" max="7" width="10.33203125" bestFit="1" customWidth="1"/>
    <col min="8" max="8" width="16.5546875" customWidth="1"/>
    <col min="9" max="9" width="15.44140625" customWidth="1"/>
    <col min="10" max="10" width="19.88671875" customWidth="1"/>
  </cols>
  <sheetData>
    <row r="1" spans="1:12" ht="15" thickBot="1" x14ac:dyDescent="0.35">
      <c r="A1" s="8" t="s">
        <v>37</v>
      </c>
      <c r="B1" s="48" t="s">
        <v>54</v>
      </c>
      <c r="E1" s="47"/>
      <c r="F1" s="47"/>
      <c r="I1" s="76"/>
      <c r="J1" s="76"/>
      <c r="K1" s="76"/>
    </row>
    <row r="2" spans="1:12" x14ac:dyDescent="0.3">
      <c r="A2" s="50" t="s">
        <v>49</v>
      </c>
      <c r="B2" s="114">
        <v>0.42</v>
      </c>
      <c r="C2" s="51" t="s">
        <v>55</v>
      </c>
      <c r="D2" s="52"/>
      <c r="E2" s="78" t="s">
        <v>66</v>
      </c>
      <c r="F2" s="52"/>
      <c r="G2" s="52"/>
      <c r="H2" s="53"/>
      <c r="I2" s="52"/>
      <c r="J2" s="52"/>
      <c r="K2" s="53"/>
      <c r="L2" s="56"/>
    </row>
    <row r="3" spans="1:12" x14ac:dyDescent="0.3">
      <c r="A3" s="54" t="s">
        <v>50</v>
      </c>
      <c r="B3" s="72">
        <v>0</v>
      </c>
      <c r="C3" s="18" t="s">
        <v>12</v>
      </c>
      <c r="D3" s="92"/>
      <c r="E3" s="79" t="s">
        <v>67</v>
      </c>
      <c r="F3" s="92"/>
      <c r="G3" s="92"/>
      <c r="H3" s="55"/>
      <c r="I3" s="92"/>
      <c r="J3" s="92"/>
      <c r="K3" s="55"/>
      <c r="L3" s="56"/>
    </row>
    <row r="4" spans="1:12" x14ac:dyDescent="0.3">
      <c r="A4" s="54" t="s">
        <v>51</v>
      </c>
      <c r="B4" s="72"/>
      <c r="C4" s="18" t="s">
        <v>12</v>
      </c>
      <c r="D4" s="92"/>
      <c r="E4" s="56" t="s">
        <v>63</v>
      </c>
      <c r="F4" s="92"/>
      <c r="G4" s="92"/>
      <c r="H4" s="55"/>
      <c r="I4" s="92"/>
      <c r="J4" s="92"/>
      <c r="K4" s="55"/>
      <c r="L4" s="56"/>
    </row>
    <row r="5" spans="1:12" x14ac:dyDescent="0.3">
      <c r="A5" s="54" t="s">
        <v>52</v>
      </c>
      <c r="B5" s="72">
        <v>0</v>
      </c>
      <c r="C5" s="18" t="s">
        <v>13</v>
      </c>
      <c r="D5" s="92"/>
      <c r="E5" s="56" t="s">
        <v>62</v>
      </c>
      <c r="F5" s="92"/>
      <c r="G5" s="92"/>
      <c r="H5" s="55"/>
      <c r="I5" s="92"/>
      <c r="J5" s="92"/>
      <c r="K5" s="55"/>
      <c r="L5" s="56"/>
    </row>
    <row r="6" spans="1:12" x14ac:dyDescent="0.3">
      <c r="A6" s="54" t="s">
        <v>46</v>
      </c>
      <c r="B6" s="97">
        <f>Rekenblad!$I$3</f>
        <v>0</v>
      </c>
      <c r="C6" s="18" t="s">
        <v>13</v>
      </c>
      <c r="D6" s="92"/>
      <c r="E6" s="56" t="s">
        <v>64</v>
      </c>
      <c r="F6" s="92"/>
      <c r="G6" s="92"/>
      <c r="H6" s="55"/>
      <c r="I6" s="92"/>
      <c r="J6" s="92"/>
      <c r="K6" s="55"/>
      <c r="L6" s="56"/>
    </row>
    <row r="7" spans="1:12" ht="15" thickBot="1" x14ac:dyDescent="0.35">
      <c r="A7" s="54" t="s">
        <v>53</v>
      </c>
      <c r="B7" s="72">
        <v>0</v>
      </c>
      <c r="C7" s="71" t="s">
        <v>13</v>
      </c>
      <c r="D7" s="92"/>
      <c r="E7" s="80" t="s">
        <v>65</v>
      </c>
      <c r="F7" s="76"/>
      <c r="G7" s="76"/>
      <c r="H7" s="81"/>
      <c r="I7" s="92"/>
      <c r="J7" s="92"/>
      <c r="K7" s="55"/>
      <c r="L7" s="56"/>
    </row>
    <row r="8" spans="1:12" x14ac:dyDescent="0.3">
      <c r="A8" s="54" t="s">
        <v>60</v>
      </c>
      <c r="B8" s="72">
        <v>0</v>
      </c>
      <c r="C8" s="71" t="s">
        <v>61</v>
      </c>
      <c r="D8" s="92"/>
      <c r="E8" s="92"/>
      <c r="F8" s="92"/>
      <c r="G8" s="92"/>
      <c r="H8" s="92"/>
      <c r="I8" s="92"/>
      <c r="J8" s="92"/>
      <c r="K8" s="55"/>
      <c r="L8" s="56"/>
    </row>
    <row r="9" spans="1:12" x14ac:dyDescent="0.3">
      <c r="A9" s="56"/>
      <c r="B9" s="92"/>
      <c r="C9" s="93"/>
      <c r="D9" s="92"/>
      <c r="E9" s="92"/>
      <c r="F9" s="92"/>
      <c r="G9" s="92"/>
      <c r="H9" s="92"/>
      <c r="I9" s="92"/>
      <c r="J9" s="92"/>
      <c r="K9" s="55"/>
      <c r="L9" s="56"/>
    </row>
    <row r="10" spans="1:12" x14ac:dyDescent="0.3">
      <c r="A10" s="56"/>
      <c r="B10" s="70" t="s">
        <v>33</v>
      </c>
      <c r="C10" s="70" t="s">
        <v>33</v>
      </c>
      <c r="D10" s="75" t="s">
        <v>33</v>
      </c>
      <c r="E10" s="18"/>
      <c r="F10" s="18"/>
      <c r="G10" s="18"/>
      <c r="H10" s="18"/>
      <c r="I10" s="92"/>
      <c r="J10" s="92"/>
      <c r="K10" s="55"/>
      <c r="L10" s="56"/>
    </row>
    <row r="11" spans="1:12" x14ac:dyDescent="0.3">
      <c r="A11" s="56"/>
      <c r="B11" s="67" t="s">
        <v>32</v>
      </c>
      <c r="C11" s="67" t="s">
        <v>36</v>
      </c>
      <c r="D11" s="73" t="s">
        <v>34</v>
      </c>
      <c r="E11" s="67" t="s">
        <v>35</v>
      </c>
      <c r="F11" s="67" t="s">
        <v>41</v>
      </c>
      <c r="G11" s="67" t="s">
        <v>58</v>
      </c>
      <c r="H11" s="74" t="s">
        <v>59</v>
      </c>
      <c r="I11" s="92"/>
      <c r="J11" s="92"/>
      <c r="K11" s="55"/>
      <c r="L11" s="56"/>
    </row>
    <row r="12" spans="1:12" x14ac:dyDescent="0.3">
      <c r="A12" s="68">
        <v>2023</v>
      </c>
      <c r="B12" s="97">
        <f>B4</f>
        <v>0</v>
      </c>
      <c r="C12" s="98">
        <f>IF($B$3+$B$4=0,0,B12/($B$3+$B$4))</f>
        <v>0</v>
      </c>
      <c r="D12" s="97">
        <f t="shared" ref="D12:D19" si="0">$B$5</f>
        <v>0</v>
      </c>
      <c r="E12" s="99">
        <f>Rekenblad!$B44+Rekenblad!$B60</f>
        <v>0</v>
      </c>
      <c r="F12" s="100">
        <v>0</v>
      </c>
      <c r="G12" s="101">
        <f>E12+F12</f>
        <v>0</v>
      </c>
      <c r="H12" s="102" t="e">
        <f>G12/$B$8</f>
        <v>#DIV/0!</v>
      </c>
      <c r="I12" s="94"/>
      <c r="J12" s="95"/>
      <c r="K12" s="55"/>
      <c r="L12" s="56"/>
    </row>
    <row r="13" spans="1:12" x14ac:dyDescent="0.3">
      <c r="A13" s="68">
        <v>2024</v>
      </c>
      <c r="B13" s="97">
        <f>B4</f>
        <v>0</v>
      </c>
      <c r="C13" s="98">
        <f>IF($B$3+$B$4=0,0,B13/($B$3+$B$4))</f>
        <v>0</v>
      </c>
      <c r="D13" s="97">
        <f t="shared" si="0"/>
        <v>0</v>
      </c>
      <c r="E13" s="103">
        <f>Rekenblad!$C44+Rekenblad!$C60</f>
        <v>0</v>
      </c>
      <c r="F13" s="104">
        <v>0</v>
      </c>
      <c r="G13" s="105">
        <f t="shared" ref="G13:G19" si="1">E13+F13</f>
        <v>0</v>
      </c>
      <c r="H13" s="106" t="e">
        <f t="shared" ref="H13:H19" si="2">G13/$B$8</f>
        <v>#DIV/0!</v>
      </c>
      <c r="I13" s="94"/>
      <c r="J13" s="95"/>
      <c r="K13" s="55"/>
      <c r="L13" s="56"/>
    </row>
    <row r="14" spans="1:12" x14ac:dyDescent="0.3">
      <c r="A14" s="68">
        <v>2025</v>
      </c>
      <c r="B14" s="107">
        <f>$B$4+MAX($B$3-$B$7*Rekenblad!$B$7-$B$6*Rekenblad!G3,0)</f>
        <v>0</v>
      </c>
      <c r="C14" s="98">
        <f t="shared" ref="C14:C19" si="3">IF($B$3+$B$4=0,0,B14/($B$3+$B$4))</f>
        <v>0</v>
      </c>
      <c r="D14" s="97">
        <f t="shared" si="0"/>
        <v>0</v>
      </c>
      <c r="E14" s="103">
        <f>Rekenblad!$D44+Rekenblad!$D60</f>
        <v>0</v>
      </c>
      <c r="F14" s="105">
        <f>Rekenblad!D12*1.788225/1000*($B$3+$B$4)</f>
        <v>0</v>
      </c>
      <c r="G14" s="105">
        <f t="shared" si="1"/>
        <v>0</v>
      </c>
      <c r="H14" s="106" t="e">
        <f t="shared" si="2"/>
        <v>#DIV/0!</v>
      </c>
      <c r="I14" s="94"/>
      <c r="J14" s="95"/>
      <c r="K14" s="55"/>
      <c r="L14" s="56"/>
    </row>
    <row r="15" spans="1:12" x14ac:dyDescent="0.3">
      <c r="A15" s="68">
        <v>2026</v>
      </c>
      <c r="B15" s="107">
        <f>$B$4+MAX($B$3-$B$7*Rekenblad!$B$7-$B$6*Rekenblad!G4,0)</f>
        <v>0</v>
      </c>
      <c r="C15" s="98">
        <f t="shared" si="3"/>
        <v>0</v>
      </c>
      <c r="D15" s="97">
        <f t="shared" si="0"/>
        <v>0</v>
      </c>
      <c r="E15" s="103">
        <f>Rekenblad!$E44+Rekenblad!$E60</f>
        <v>0</v>
      </c>
      <c r="F15" s="105">
        <f>Rekenblad!E12*1.788225/1000*($B$3+$B$4)</f>
        <v>0</v>
      </c>
      <c r="G15" s="105">
        <f t="shared" si="1"/>
        <v>0</v>
      </c>
      <c r="H15" s="106" t="e">
        <f t="shared" si="2"/>
        <v>#DIV/0!</v>
      </c>
      <c r="I15" s="94"/>
      <c r="J15" s="95"/>
      <c r="K15" s="55"/>
      <c r="L15" s="56"/>
    </row>
    <row r="16" spans="1:12" x14ac:dyDescent="0.3">
      <c r="A16" s="68">
        <v>2027</v>
      </c>
      <c r="B16" s="107">
        <f>$B$4+MAX($B$3-$B$7*Rekenblad!$B$7-$B$6*Rekenblad!G5,0)</f>
        <v>0</v>
      </c>
      <c r="C16" s="98">
        <f t="shared" si="3"/>
        <v>0</v>
      </c>
      <c r="D16" s="97">
        <f t="shared" si="0"/>
        <v>0</v>
      </c>
      <c r="E16" s="103">
        <f>Rekenblad!$F44+Rekenblad!$F60</f>
        <v>0</v>
      </c>
      <c r="F16" s="105">
        <f>Rekenblad!F12*1.788225/1000*($B$3+$B$4)</f>
        <v>0</v>
      </c>
      <c r="G16" s="105">
        <f t="shared" si="1"/>
        <v>0</v>
      </c>
      <c r="H16" s="106" t="e">
        <f t="shared" si="2"/>
        <v>#DIV/0!</v>
      </c>
      <c r="I16" s="94"/>
      <c r="J16" s="95"/>
      <c r="K16" s="55"/>
      <c r="L16" s="56"/>
    </row>
    <row r="17" spans="1:12" x14ac:dyDescent="0.3">
      <c r="A17" s="68">
        <v>2028</v>
      </c>
      <c r="B17" s="107">
        <f>$B$4+MAX($B$3-$B$7*Rekenblad!$B$7-$B$6*Rekenblad!G6,0)</f>
        <v>0</v>
      </c>
      <c r="C17" s="98">
        <f t="shared" si="3"/>
        <v>0</v>
      </c>
      <c r="D17" s="97">
        <f t="shared" si="0"/>
        <v>0</v>
      </c>
      <c r="E17" s="103">
        <f>Rekenblad!$G44+Rekenblad!$G60</f>
        <v>0</v>
      </c>
      <c r="F17" s="105">
        <f>Rekenblad!G12*1.788225/1000*($B$3+$B$4)</f>
        <v>0</v>
      </c>
      <c r="G17" s="105">
        <f t="shared" si="1"/>
        <v>0</v>
      </c>
      <c r="H17" s="106" t="e">
        <f t="shared" si="2"/>
        <v>#DIV/0!</v>
      </c>
      <c r="I17" s="94"/>
      <c r="J17" s="95"/>
      <c r="K17" s="55"/>
      <c r="L17" s="56"/>
    </row>
    <row r="18" spans="1:12" x14ac:dyDescent="0.3">
      <c r="A18" s="68">
        <v>2029</v>
      </c>
      <c r="B18" s="107">
        <f>$B$4+MAX($B$3-$B$7*Rekenblad!$B$7-$B$6*Rekenblad!G7,0)</f>
        <v>0</v>
      </c>
      <c r="C18" s="98">
        <f t="shared" si="3"/>
        <v>0</v>
      </c>
      <c r="D18" s="97">
        <f t="shared" si="0"/>
        <v>0</v>
      </c>
      <c r="E18" s="103">
        <f>Rekenblad!$H44+Rekenblad!$H60</f>
        <v>0</v>
      </c>
      <c r="F18" s="105">
        <f>Rekenblad!H12*1.788225/1000*($B$3+$B$4)</f>
        <v>0</v>
      </c>
      <c r="G18" s="105">
        <f t="shared" si="1"/>
        <v>0</v>
      </c>
      <c r="H18" s="106" t="e">
        <f t="shared" si="2"/>
        <v>#DIV/0!</v>
      </c>
      <c r="I18" s="94"/>
      <c r="J18" s="95"/>
      <c r="K18" s="55"/>
      <c r="L18" s="56"/>
    </row>
    <row r="19" spans="1:12" ht="15" thickBot="1" x14ac:dyDescent="0.35">
      <c r="A19" s="69">
        <v>2030</v>
      </c>
      <c r="B19" s="108">
        <f>$B$4+MAX($B$3-$B$7*Rekenblad!$B$7-$B$6*Rekenblad!G8,0)</f>
        <v>0</v>
      </c>
      <c r="C19" s="109">
        <f t="shared" si="3"/>
        <v>0</v>
      </c>
      <c r="D19" s="110">
        <f t="shared" si="0"/>
        <v>0</v>
      </c>
      <c r="E19" s="111">
        <f>Rekenblad!$I44+Rekenblad!$I60</f>
        <v>0</v>
      </c>
      <c r="F19" s="112">
        <f>Rekenblad!I12*1.788225/1000*($B$3+$B$4)</f>
        <v>0</v>
      </c>
      <c r="G19" s="112">
        <f t="shared" si="1"/>
        <v>0</v>
      </c>
      <c r="H19" s="113" t="e">
        <f t="shared" si="2"/>
        <v>#DIV/0!</v>
      </c>
      <c r="I19" s="96"/>
      <c r="J19" s="96"/>
      <c r="K19" s="81"/>
      <c r="L19" s="56"/>
    </row>
    <row r="20" spans="1:12" x14ac:dyDescent="0.3">
      <c r="J20" s="92"/>
      <c r="K20" s="92"/>
    </row>
    <row r="27" spans="1:12" x14ac:dyDescent="0.3">
      <c r="A27" s="77"/>
    </row>
    <row r="32" spans="1:12" ht="15" thickBot="1" x14ac:dyDescent="0.35"/>
    <row r="33" spans="1:1" ht="15" thickBot="1" x14ac:dyDescent="0.35">
      <c r="A33" s="57"/>
    </row>
    <row r="73" spans="1:1" x14ac:dyDescent="0.3">
      <c r="A73" s="5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zoomScale="110" zoomScaleNormal="110" workbookViewId="0">
      <selection activeCell="C19" sqref="C19"/>
    </sheetView>
  </sheetViews>
  <sheetFormatPr defaultRowHeight="14.4" x14ac:dyDescent="0.3"/>
  <cols>
    <col min="1" max="1" width="62.44140625" bestFit="1" customWidth="1"/>
    <col min="2" max="2" width="18.44140625" customWidth="1"/>
    <col min="3" max="4" width="16" customWidth="1"/>
    <col min="5" max="8" width="15.33203125" customWidth="1"/>
    <col min="9" max="9" width="9" customWidth="1"/>
    <col min="10" max="10" width="11.109375" customWidth="1"/>
    <col min="11" max="11" width="11" customWidth="1"/>
    <col min="12" max="12" width="9.5546875" customWidth="1"/>
    <col min="13" max="13" width="12" customWidth="1"/>
    <col min="14" max="14" width="11.44140625" customWidth="1"/>
    <col min="15" max="15" width="11.88671875" customWidth="1"/>
    <col min="16" max="19" width="10.5546875" customWidth="1"/>
    <col min="20" max="21" width="10.33203125" customWidth="1"/>
    <col min="22" max="22" width="8.6640625" customWidth="1"/>
    <col min="23" max="24" width="10.33203125" customWidth="1"/>
    <col min="25" max="27" width="8.6640625" customWidth="1"/>
    <col min="28" max="30" width="11.109375" customWidth="1"/>
    <col min="31" max="32" width="8.6640625" customWidth="1"/>
    <col min="33" max="35" width="10" customWidth="1"/>
    <col min="36" max="42" width="8.6640625" customWidth="1"/>
    <col min="43" max="43" width="9.88671875" customWidth="1"/>
    <col min="44" max="51" width="8.6640625" customWidth="1"/>
    <col min="93" max="96" width="9.44140625" customWidth="1"/>
  </cols>
  <sheetData>
    <row r="1" spans="1:16" x14ac:dyDescent="0.3">
      <c r="B1" s="2"/>
      <c r="C1" s="15"/>
      <c r="E1" s="2" t="s">
        <v>40</v>
      </c>
      <c r="F1" s="3"/>
      <c r="G1" s="4"/>
    </row>
    <row r="2" spans="1:16" ht="28.8" x14ac:dyDescent="0.3">
      <c r="B2" s="66" t="s">
        <v>57</v>
      </c>
      <c r="C2" s="18" t="s">
        <v>6</v>
      </c>
      <c r="E2" s="2"/>
      <c r="F2" s="3" t="s">
        <v>38</v>
      </c>
      <c r="G2" s="4" t="s">
        <v>39</v>
      </c>
      <c r="I2" t="s">
        <v>44</v>
      </c>
    </row>
    <row r="3" spans="1:16" x14ac:dyDescent="0.3">
      <c r="A3" t="s">
        <v>5</v>
      </c>
      <c r="B3" s="49">
        <v>0.6</v>
      </c>
      <c r="C3" s="45">
        <f>'Invoer en uitkomst'!$B$2</f>
        <v>0.42</v>
      </c>
      <c r="E3" s="15">
        <v>2025</v>
      </c>
      <c r="F3" s="83">
        <v>280.8</v>
      </c>
      <c r="G3" s="30">
        <f>F3-Rekenblad!$B$7</f>
        <v>167.05592417061612</v>
      </c>
      <c r="I3" s="46">
        <f>'Invoer en uitkomst'!$B$3/Rekenblad!$C$6</f>
        <v>0</v>
      </c>
      <c r="J3" t="s">
        <v>45</v>
      </c>
    </row>
    <row r="4" spans="1:16" x14ac:dyDescent="0.3">
      <c r="A4" t="s">
        <v>19</v>
      </c>
      <c r="B4" s="82">
        <f>1/B3</f>
        <v>1.6666666666666667</v>
      </c>
      <c r="C4" s="16">
        <f>1/(31.65/35.17)/C3</f>
        <v>2.6457534040472432</v>
      </c>
      <c r="E4" s="24">
        <v>2026</v>
      </c>
      <c r="F4" s="84">
        <v>263.5</v>
      </c>
      <c r="G4" s="28">
        <f>F4-Rekenblad!$B$7</f>
        <v>149.75592417061611</v>
      </c>
    </row>
    <row r="5" spans="1:16" x14ac:dyDescent="0.3">
      <c r="A5" t="s">
        <v>3</v>
      </c>
      <c r="B5" s="6">
        <f>B4*3.6</f>
        <v>6</v>
      </c>
      <c r="C5" s="16">
        <f>C4*3.6</f>
        <v>9.5247122545700762</v>
      </c>
      <c r="E5" s="24">
        <v>2027</v>
      </c>
      <c r="F5" s="84">
        <v>246.7</v>
      </c>
      <c r="G5" s="28">
        <f>F5-Rekenblad!$B$7</f>
        <v>132.9559241706161</v>
      </c>
    </row>
    <row r="6" spans="1:16" x14ac:dyDescent="0.3">
      <c r="A6" t="s">
        <v>4</v>
      </c>
      <c r="B6" s="82">
        <f>B5/35.17*1000*35.17/31.65</f>
        <v>189.57345971563981</v>
      </c>
      <c r="C6" s="16">
        <f>C5/35.17*1000</f>
        <v>270.81922816519977</v>
      </c>
      <c r="E6" s="24">
        <v>2028</v>
      </c>
      <c r="F6" s="84">
        <v>227</v>
      </c>
      <c r="G6" s="28">
        <f>F6-Rekenblad!$B$7</f>
        <v>113.25592417061611</v>
      </c>
    </row>
    <row r="7" spans="1:16" x14ac:dyDescent="0.3">
      <c r="A7" t="s">
        <v>17</v>
      </c>
      <c r="B7" s="82">
        <f>1*3600/35.17*35.17/31.65</f>
        <v>113.74407582938389</v>
      </c>
      <c r="C7" s="16"/>
      <c r="E7" s="24">
        <v>2029</v>
      </c>
      <c r="F7" s="84">
        <v>211</v>
      </c>
      <c r="G7" s="28">
        <f>F7-Rekenblad!$B$7</f>
        <v>97.255924170616112</v>
      </c>
    </row>
    <row r="8" spans="1:16" x14ac:dyDescent="0.3">
      <c r="A8" t="s">
        <v>16</v>
      </c>
      <c r="B8" s="7">
        <f>B6-B7</f>
        <v>75.829383886255926</v>
      </c>
      <c r="C8" s="17"/>
      <c r="E8" s="19">
        <v>2030</v>
      </c>
      <c r="F8" s="85">
        <v>189.57345971563981</v>
      </c>
      <c r="G8" s="29">
        <f>F8-Rekenblad!$B$7</f>
        <v>75.829383886255926</v>
      </c>
    </row>
    <row r="9" spans="1:16" x14ac:dyDescent="0.3">
      <c r="B9" s="59"/>
      <c r="C9" s="59"/>
      <c r="E9" s="24"/>
      <c r="F9" s="31"/>
      <c r="G9" s="60"/>
    </row>
    <row r="10" spans="1:16" x14ac:dyDescent="0.3">
      <c r="A10" s="18" t="s">
        <v>56</v>
      </c>
      <c r="B10" s="18"/>
      <c r="C10" s="18"/>
      <c r="D10" s="61">
        <v>2025</v>
      </c>
      <c r="E10" s="18">
        <v>2026</v>
      </c>
      <c r="F10" s="61">
        <v>2027</v>
      </c>
      <c r="G10" s="18">
        <v>2028</v>
      </c>
      <c r="H10" s="18">
        <v>2029</v>
      </c>
      <c r="I10" s="18">
        <v>2030</v>
      </c>
    </row>
    <row r="11" spans="1:16" x14ac:dyDescent="0.3">
      <c r="A11" s="18" t="s">
        <v>42</v>
      </c>
      <c r="B11" s="18"/>
      <c r="C11" s="18"/>
      <c r="D11" s="86">
        <f>F3</f>
        <v>280.8</v>
      </c>
      <c r="E11" s="87">
        <f>F4</f>
        <v>263.5</v>
      </c>
      <c r="F11" s="87">
        <f>F5</f>
        <v>246.7</v>
      </c>
      <c r="G11" s="87">
        <f>F6</f>
        <v>227</v>
      </c>
      <c r="H11" s="87">
        <f>F7</f>
        <v>211</v>
      </c>
      <c r="I11" s="86">
        <f>F8</f>
        <v>189.57345971563981</v>
      </c>
    </row>
    <row r="12" spans="1:16" x14ac:dyDescent="0.3">
      <c r="A12" s="18" t="s">
        <v>43</v>
      </c>
      <c r="B12" s="18"/>
      <c r="C12" s="18"/>
      <c r="D12" s="86">
        <v>9.5</v>
      </c>
      <c r="E12" s="88">
        <v>11.14</v>
      </c>
      <c r="F12" s="86">
        <v>12.78</v>
      </c>
      <c r="G12" s="88">
        <v>14.42</v>
      </c>
      <c r="H12" s="88">
        <v>16.059999999999999</v>
      </c>
      <c r="I12" s="86">
        <v>17.7</v>
      </c>
      <c r="K12" s="8"/>
    </row>
    <row r="13" spans="1:16" x14ac:dyDescent="0.3">
      <c r="B13" s="26"/>
      <c r="C13" s="26"/>
      <c r="D13" s="26"/>
      <c r="E13" s="26"/>
      <c r="F13" s="26"/>
      <c r="G13" s="26"/>
      <c r="H13" s="26"/>
      <c r="I13" s="26"/>
    </row>
    <row r="14" spans="1:16" x14ac:dyDescent="0.3">
      <c r="A14" s="8" t="s">
        <v>7</v>
      </c>
      <c r="B14" s="9" t="s">
        <v>14</v>
      </c>
      <c r="C14" s="3"/>
      <c r="D14" s="10"/>
      <c r="E14" s="10"/>
      <c r="F14" s="10"/>
      <c r="G14" s="10"/>
      <c r="H14" s="10"/>
      <c r="I14" s="11"/>
      <c r="K14" s="8"/>
      <c r="L14" s="8"/>
      <c r="M14" s="8"/>
      <c r="N14" s="8"/>
      <c r="O14" s="8"/>
      <c r="P14" s="8"/>
    </row>
    <row r="15" spans="1:16" x14ac:dyDescent="0.3">
      <c r="A15" t="s">
        <v>18</v>
      </c>
      <c r="B15" s="23">
        <v>2023</v>
      </c>
      <c r="C15" s="20">
        <v>2024</v>
      </c>
      <c r="D15" s="20">
        <v>2025</v>
      </c>
      <c r="E15" s="20">
        <f>D15+1</f>
        <v>2026</v>
      </c>
      <c r="F15" s="20">
        <f t="shared" ref="F15:H15" si="0">E15+1</f>
        <v>2027</v>
      </c>
      <c r="G15" s="20">
        <f t="shared" si="0"/>
        <v>2028</v>
      </c>
      <c r="H15" s="20">
        <f t="shared" si="0"/>
        <v>2029</v>
      </c>
      <c r="I15" s="21">
        <v>2030</v>
      </c>
      <c r="K15" s="62"/>
      <c r="L15" s="62"/>
      <c r="M15" s="62"/>
      <c r="N15" s="62"/>
      <c r="O15" s="62"/>
      <c r="P15" s="62"/>
    </row>
    <row r="16" spans="1:16" x14ac:dyDescent="0.3">
      <c r="A16" s="2" t="s">
        <v>20</v>
      </c>
      <c r="B16" s="13">
        <v>48.98</v>
      </c>
      <c r="C16" s="32">
        <v>58.302</v>
      </c>
      <c r="D16" s="36">
        <v>57.82</v>
      </c>
      <c r="E16" s="32">
        <v>60.576999999999998</v>
      </c>
      <c r="F16" s="32">
        <v>60.851999999999997</v>
      </c>
      <c r="G16" s="32">
        <v>61.225000000000001</v>
      </c>
      <c r="H16" s="32">
        <v>62.488999999999997</v>
      </c>
      <c r="I16" s="37">
        <v>62.774999999999999</v>
      </c>
      <c r="K16" s="62"/>
      <c r="L16" s="62"/>
      <c r="M16" s="62"/>
      <c r="N16" s="62"/>
      <c r="O16" s="62"/>
      <c r="P16" s="62"/>
    </row>
    <row r="17" spans="1:16" x14ac:dyDescent="0.3">
      <c r="A17" s="5" t="s">
        <v>21</v>
      </c>
      <c r="B17" s="22">
        <f>B16</f>
        <v>48.98</v>
      </c>
      <c r="C17" s="58">
        <f>C16</f>
        <v>58.302</v>
      </c>
      <c r="D17" s="58">
        <f t="shared" ref="D17:I17" si="1">D16</f>
        <v>57.82</v>
      </c>
      <c r="E17" s="58">
        <f t="shared" si="1"/>
        <v>60.576999999999998</v>
      </c>
      <c r="F17" s="58">
        <f t="shared" si="1"/>
        <v>60.851999999999997</v>
      </c>
      <c r="G17" s="58">
        <f t="shared" si="1"/>
        <v>61.225000000000001</v>
      </c>
      <c r="H17" s="58">
        <f t="shared" si="1"/>
        <v>62.488999999999997</v>
      </c>
      <c r="I17" s="38">
        <f t="shared" si="1"/>
        <v>62.774999999999999</v>
      </c>
      <c r="K17" s="62"/>
      <c r="L17" s="62"/>
      <c r="M17" s="62"/>
      <c r="N17" s="62"/>
      <c r="O17" s="62"/>
      <c r="P17" s="62"/>
    </row>
    <row r="18" spans="1:16" x14ac:dyDescent="0.3">
      <c r="A18" s="5" t="s">
        <v>0</v>
      </c>
      <c r="B18" s="6">
        <v>9.6210000000000004</v>
      </c>
      <c r="C18" s="58">
        <v>22.376000000000001</v>
      </c>
      <c r="D18" s="58">
        <v>31.57</v>
      </c>
      <c r="E18" s="58">
        <v>32.344000000000001</v>
      </c>
      <c r="F18" s="58">
        <v>33.387999999999998</v>
      </c>
      <c r="G18" s="58">
        <v>34.222999999999999</v>
      </c>
      <c r="H18" s="58">
        <v>35.146000000000001</v>
      </c>
      <c r="I18" s="38">
        <v>36.244999999999997</v>
      </c>
      <c r="K18" s="62"/>
      <c r="L18" s="62"/>
      <c r="M18" s="62"/>
      <c r="N18" s="62"/>
      <c r="O18" s="62"/>
      <c r="P18" s="62"/>
    </row>
    <row r="19" spans="1:16" x14ac:dyDescent="0.3">
      <c r="A19" s="5" t="s">
        <v>1</v>
      </c>
      <c r="B19" s="6">
        <v>5.109</v>
      </c>
      <c r="C19" s="58">
        <v>12.858000000000001</v>
      </c>
      <c r="D19" s="58">
        <v>20.350000000000001</v>
      </c>
      <c r="E19" s="58">
        <v>20.946999999999999</v>
      </c>
      <c r="F19" s="58">
        <v>21.803999999999998</v>
      </c>
      <c r="G19" s="58">
        <v>22.387</v>
      </c>
      <c r="H19" s="58">
        <v>23.068000000000001</v>
      </c>
      <c r="I19" s="38">
        <v>23.969000000000001</v>
      </c>
      <c r="K19" s="62"/>
      <c r="L19" s="62"/>
      <c r="M19" s="62"/>
      <c r="N19" s="62"/>
      <c r="O19" s="62"/>
      <c r="P19" s="62"/>
    </row>
    <row r="20" spans="1:16" x14ac:dyDescent="0.3">
      <c r="A20" s="14" t="s">
        <v>2</v>
      </c>
      <c r="B20" s="7">
        <v>3.919</v>
      </c>
      <c r="C20" s="33">
        <v>4.891</v>
      </c>
      <c r="D20" s="33">
        <v>5.39</v>
      </c>
      <c r="E20" s="33">
        <v>5.0990000000000002</v>
      </c>
      <c r="F20" s="33">
        <v>5.0880000000000001</v>
      </c>
      <c r="G20" s="33">
        <v>5.0880000000000001</v>
      </c>
      <c r="H20" s="33">
        <v>5.2640000000000002</v>
      </c>
      <c r="I20" s="39">
        <v>5.3849999999999998</v>
      </c>
    </row>
    <row r="22" spans="1:16" x14ac:dyDescent="0.3">
      <c r="A22" s="8" t="s">
        <v>7</v>
      </c>
      <c r="B22" s="9" t="s">
        <v>15</v>
      </c>
      <c r="C22" s="3"/>
      <c r="D22" s="10"/>
      <c r="E22" s="10"/>
      <c r="F22" s="10"/>
      <c r="G22" s="10"/>
      <c r="H22" s="10"/>
      <c r="I22" s="11"/>
      <c r="K22" s="34"/>
    </row>
    <row r="23" spans="1:16" x14ac:dyDescent="0.3">
      <c r="A23" t="s">
        <v>18</v>
      </c>
      <c r="B23" s="12">
        <v>2023</v>
      </c>
      <c r="C23" s="20">
        <v>2024</v>
      </c>
      <c r="D23" s="20">
        <v>2025</v>
      </c>
      <c r="E23" s="20">
        <f>D23+1</f>
        <v>2026</v>
      </c>
      <c r="F23" s="20">
        <f>E23+1</f>
        <v>2027</v>
      </c>
      <c r="G23" s="20">
        <f>F23+1</f>
        <v>2028</v>
      </c>
      <c r="H23" s="20">
        <f>G23+1</f>
        <v>2029</v>
      </c>
      <c r="I23" s="21">
        <v>2030</v>
      </c>
      <c r="K23" s="63"/>
      <c r="L23" s="64"/>
      <c r="M23" s="64"/>
    </row>
    <row r="24" spans="1:16" x14ac:dyDescent="0.3">
      <c r="A24" s="2" t="s">
        <v>20</v>
      </c>
      <c r="B24" s="13">
        <v>7.867</v>
      </c>
      <c r="C24" s="40">
        <v>9.3629999999999995</v>
      </c>
      <c r="D24" s="89">
        <f>D16*0.23</f>
        <v>13.2986</v>
      </c>
      <c r="E24" s="89">
        <f>E16*0.3</f>
        <v>18.173099999999998</v>
      </c>
      <c r="F24" s="89">
        <f>F16*0.37</f>
        <v>22.515239999999999</v>
      </c>
      <c r="G24" s="89">
        <f>G16*0.44</f>
        <v>26.939</v>
      </c>
      <c r="H24" s="89">
        <f>H16*0.52</f>
        <v>32.494279999999996</v>
      </c>
      <c r="I24" s="90">
        <f>I16*0.6</f>
        <v>37.664999999999999</v>
      </c>
    </row>
    <row r="25" spans="1:16" x14ac:dyDescent="0.3">
      <c r="A25" s="5" t="s">
        <v>21</v>
      </c>
      <c r="B25" s="22">
        <f t="shared" ref="B25" si="2">B24</f>
        <v>7.867</v>
      </c>
      <c r="C25" s="58">
        <v>9.3629999999999995</v>
      </c>
      <c r="D25" s="91">
        <f>D17*0.23</f>
        <v>13.2986</v>
      </c>
      <c r="E25" s="91">
        <f>E17*0.3</f>
        <v>18.173099999999998</v>
      </c>
      <c r="F25" s="91">
        <f>F17*0.37</f>
        <v>22.515239999999999</v>
      </c>
      <c r="G25" s="91">
        <f>G17*0.44</f>
        <v>26.939</v>
      </c>
      <c r="H25" s="91">
        <f>H17*0.52</f>
        <v>32.494279999999996</v>
      </c>
      <c r="I25" s="91">
        <f>I17*0.6</f>
        <v>37.664999999999999</v>
      </c>
    </row>
    <row r="26" spans="1:16" x14ac:dyDescent="0.3">
      <c r="A26" s="5" t="s">
        <v>0</v>
      </c>
      <c r="B26" s="6">
        <v>3.629</v>
      </c>
      <c r="C26" s="58">
        <v>8.44</v>
      </c>
      <c r="D26" s="91">
        <f>D18*0.43</f>
        <v>13.575099999999999</v>
      </c>
      <c r="E26" s="91">
        <f>E18*0.43</f>
        <v>13.907920000000001</v>
      </c>
      <c r="F26" s="91">
        <f>F18*0.53</f>
        <v>17.695640000000001</v>
      </c>
      <c r="G26" s="91">
        <f>G18*0.58</f>
        <v>19.849339999999998</v>
      </c>
      <c r="H26" s="91">
        <f>H18*0.64</f>
        <v>22.49344</v>
      </c>
      <c r="I26" s="91">
        <f>I18*0.7</f>
        <v>25.371499999999997</v>
      </c>
    </row>
    <row r="27" spans="1:16" x14ac:dyDescent="0.3">
      <c r="A27" s="5" t="s">
        <v>1</v>
      </c>
      <c r="B27" s="6">
        <f t="shared" ref="B27:H28" si="3">B19</f>
        <v>5.109</v>
      </c>
      <c r="C27" s="58">
        <f t="shared" si="3"/>
        <v>12.858000000000001</v>
      </c>
      <c r="D27" s="58">
        <f t="shared" si="3"/>
        <v>20.350000000000001</v>
      </c>
      <c r="E27" s="58">
        <f t="shared" si="3"/>
        <v>20.946999999999999</v>
      </c>
      <c r="F27" s="58">
        <f t="shared" si="3"/>
        <v>21.803999999999998</v>
      </c>
      <c r="G27" s="58">
        <f t="shared" si="3"/>
        <v>22.387</v>
      </c>
      <c r="H27" s="58">
        <f t="shared" si="3"/>
        <v>23.068000000000001</v>
      </c>
      <c r="I27" s="38">
        <f>I19</f>
        <v>23.969000000000001</v>
      </c>
    </row>
    <row r="28" spans="1:16" x14ac:dyDescent="0.3">
      <c r="A28" s="14" t="s">
        <v>2</v>
      </c>
      <c r="B28" s="7">
        <f t="shared" si="3"/>
        <v>3.919</v>
      </c>
      <c r="C28" s="33">
        <f t="shared" si="3"/>
        <v>4.891</v>
      </c>
      <c r="D28" s="33">
        <f t="shared" si="3"/>
        <v>5.39</v>
      </c>
      <c r="E28" s="33">
        <f t="shared" si="3"/>
        <v>5.0990000000000002</v>
      </c>
      <c r="F28" s="33">
        <f t="shared" si="3"/>
        <v>5.0880000000000001</v>
      </c>
      <c r="G28" s="33">
        <f t="shared" si="3"/>
        <v>5.0880000000000001</v>
      </c>
      <c r="H28" s="33">
        <f t="shared" si="3"/>
        <v>5.2640000000000002</v>
      </c>
      <c r="I28" s="39">
        <f>I20</f>
        <v>5.3849999999999998</v>
      </c>
    </row>
    <row r="29" spans="1:16" x14ac:dyDescent="0.3">
      <c r="K29" s="8"/>
      <c r="L29" s="8"/>
      <c r="M29" s="8"/>
      <c r="N29" s="8"/>
      <c r="O29" s="8"/>
      <c r="P29" s="8"/>
    </row>
    <row r="30" spans="1:16" x14ac:dyDescent="0.3">
      <c r="A30" s="8" t="s">
        <v>8</v>
      </c>
      <c r="B30" s="9">
        <v>2023</v>
      </c>
      <c r="C30" s="10">
        <v>2024</v>
      </c>
      <c r="D30" s="10">
        <v>2025</v>
      </c>
      <c r="E30" s="10">
        <f>D30+1</f>
        <v>2026</v>
      </c>
      <c r="F30" s="10">
        <f>E30+1</f>
        <v>2027</v>
      </c>
      <c r="G30" s="10">
        <f>F30+1</f>
        <v>2028</v>
      </c>
      <c r="H30" s="10">
        <f>G30+1</f>
        <v>2029</v>
      </c>
      <c r="I30" s="11">
        <v>2030</v>
      </c>
      <c r="K30" s="65"/>
      <c r="L30" s="65"/>
      <c r="M30" s="65"/>
      <c r="N30" s="65"/>
      <c r="O30" s="65"/>
      <c r="P30" s="65"/>
    </row>
    <row r="31" spans="1:16" x14ac:dyDescent="0.3">
      <c r="A31" s="15" t="s">
        <v>22</v>
      </c>
      <c r="B31" s="6">
        <v>125.99</v>
      </c>
      <c r="C31" s="34">
        <v>108.8</v>
      </c>
      <c r="D31" s="41">
        <v>101.5</v>
      </c>
      <c r="E31" s="41">
        <v>86.82</v>
      </c>
      <c r="F31" s="41">
        <v>80.89</v>
      </c>
      <c r="G31" s="41">
        <v>76.489999999999995</v>
      </c>
      <c r="H31" s="41">
        <v>71.33</v>
      </c>
      <c r="I31" s="42">
        <v>72.42</v>
      </c>
      <c r="K31" s="65"/>
      <c r="L31" s="65"/>
      <c r="M31" s="65"/>
      <c r="N31" s="65"/>
      <c r="O31" s="65"/>
      <c r="P31" s="65"/>
    </row>
    <row r="32" spans="1:16" x14ac:dyDescent="0.3">
      <c r="A32" s="24" t="s">
        <v>23</v>
      </c>
      <c r="B32" s="6">
        <v>125.99</v>
      </c>
      <c r="C32" s="34">
        <v>108.8</v>
      </c>
      <c r="D32" s="41">
        <v>101.5</v>
      </c>
      <c r="E32" s="41">
        <v>86.82</v>
      </c>
      <c r="F32" s="41">
        <v>80.89</v>
      </c>
      <c r="G32" s="41">
        <v>76.489999999999995</v>
      </c>
      <c r="H32" s="41">
        <v>71.33</v>
      </c>
      <c r="I32" s="42">
        <v>72.42</v>
      </c>
      <c r="K32" s="65"/>
      <c r="L32" s="65"/>
      <c r="M32" s="65"/>
      <c r="N32" s="65"/>
      <c r="O32" s="65"/>
      <c r="P32" s="65"/>
    </row>
    <row r="33" spans="1:33" x14ac:dyDescent="0.3">
      <c r="A33" s="24" t="s">
        <v>9</v>
      </c>
      <c r="B33" s="6">
        <v>100.46</v>
      </c>
      <c r="C33" s="34">
        <v>90.34</v>
      </c>
      <c r="D33" s="41">
        <v>69.5</v>
      </c>
      <c r="E33" s="41">
        <v>62.53</v>
      </c>
      <c r="F33" s="41">
        <v>61.87</v>
      </c>
      <c r="G33" s="41">
        <v>62.09</v>
      </c>
      <c r="H33" s="41">
        <v>66.05</v>
      </c>
      <c r="I33" s="42">
        <v>69.02</v>
      </c>
      <c r="K33" s="65"/>
      <c r="L33" s="65"/>
      <c r="M33" s="65"/>
      <c r="N33" s="65"/>
      <c r="O33" s="65"/>
      <c r="P33" s="65"/>
    </row>
    <row r="34" spans="1:33" x14ac:dyDescent="0.3">
      <c r="A34" s="24" t="s">
        <v>10</v>
      </c>
      <c r="B34" s="6">
        <v>39.42</v>
      </c>
      <c r="C34" s="34">
        <v>39.450000000000003</v>
      </c>
      <c r="D34" s="41">
        <v>38.700000000000003</v>
      </c>
      <c r="E34" s="41">
        <v>35.72</v>
      </c>
      <c r="F34" s="41">
        <v>35.17</v>
      </c>
      <c r="G34" s="41">
        <v>34.840000000000003</v>
      </c>
      <c r="H34" s="41">
        <v>36.49</v>
      </c>
      <c r="I34" s="42">
        <v>37.479999999999997</v>
      </c>
      <c r="K34" s="65"/>
      <c r="L34" s="65"/>
      <c r="M34" s="65"/>
      <c r="N34" s="65"/>
      <c r="O34" s="65"/>
      <c r="P34" s="65"/>
    </row>
    <row r="35" spans="1:33" x14ac:dyDescent="0.3">
      <c r="A35" s="25" t="s">
        <v>11</v>
      </c>
      <c r="B35" s="7">
        <v>1.1499999999999999</v>
      </c>
      <c r="C35" s="35">
        <v>1.87</v>
      </c>
      <c r="D35" s="43">
        <v>3.2</v>
      </c>
      <c r="E35" s="43">
        <v>3.08</v>
      </c>
      <c r="F35" s="43">
        <v>2.97</v>
      </c>
      <c r="G35" s="43">
        <v>2.97</v>
      </c>
      <c r="H35" s="43">
        <v>2.97</v>
      </c>
      <c r="I35" s="44">
        <v>2.97</v>
      </c>
    </row>
    <row r="38" spans="1:33" x14ac:dyDescent="0.3">
      <c r="A38" t="s">
        <v>48</v>
      </c>
      <c r="B38" s="8">
        <v>2023</v>
      </c>
      <c r="C38" s="8">
        <v>2024</v>
      </c>
      <c r="D38" s="8">
        <v>2025</v>
      </c>
      <c r="E38" s="8">
        <v>2026</v>
      </c>
      <c r="F38" s="8">
        <v>2027</v>
      </c>
      <c r="G38" s="8">
        <v>2028</v>
      </c>
      <c r="H38" s="8">
        <v>2029</v>
      </c>
      <c r="I38" s="8">
        <v>2030</v>
      </c>
    </row>
    <row r="39" spans="1:33" x14ac:dyDescent="0.3">
      <c r="A39" t="s">
        <v>24</v>
      </c>
      <c r="B39" s="1">
        <f>IF('Invoer en uitkomst'!B12&lt;1001,'Invoer en uitkomst'!$B12*B$24/100,1000*B$24/100)</f>
        <v>0</v>
      </c>
      <c r="C39" s="1">
        <f>IF('Invoer en uitkomst'!B13&lt;1001,'Invoer en uitkomst'!B13*C$24/100,1000*C$24/100)</f>
        <v>0</v>
      </c>
      <c r="D39" s="1">
        <f>IF('Invoer en uitkomst'!B14&lt;1001,'Invoer en uitkomst'!B14*D$24/100,1000*D$24/100)</f>
        <v>0</v>
      </c>
      <c r="E39" s="1">
        <f>IF('Invoer en uitkomst'!B15&lt;1001,'Invoer en uitkomst'!B15*E$24/100,1000*E$24/100)</f>
        <v>0</v>
      </c>
      <c r="F39" s="1">
        <f>IF('Invoer en uitkomst'!B16&lt;1001,'Invoer en uitkomst'!B16*F$24/100,1000*F$24/100)</f>
        <v>0</v>
      </c>
      <c r="G39" s="1">
        <f>IF('Invoer en uitkomst'!B17&lt;1001,'Invoer en uitkomst'!B17*G$24/100,1000*G$24/100)</f>
        <v>0</v>
      </c>
      <c r="H39" s="1">
        <f>IF('Invoer en uitkomst'!B18&lt;1001,'Invoer en uitkomst'!B18*H$24/100,1000*H$24/100)</f>
        <v>0</v>
      </c>
      <c r="I39" s="1">
        <f>IF('Invoer en uitkomst'!B19&lt;1001,'Invoer en uitkomst'!B19*I$24/100,1000*I$24/100)</f>
        <v>0</v>
      </c>
    </row>
    <row r="40" spans="1:33" x14ac:dyDescent="0.3">
      <c r="A40" t="s">
        <v>25</v>
      </c>
      <c r="B40" s="1">
        <f>IF('Invoer en uitkomst'!B12&lt;1001,0,IF(AND('Invoer en uitkomst'!B12&gt;1000,'Invoer en uitkomst'!B12&lt;170001),('Invoer en uitkomst'!B12-1000)*B$25/100,169000*B$25/100))</f>
        <v>0</v>
      </c>
      <c r="C40" s="1">
        <f>IF('Invoer en uitkomst'!B13&lt;1001,0,IF(AND('Invoer en uitkomst'!B13&gt;1000,'Invoer en uitkomst'!B13&lt;170001),('Invoer en uitkomst'!B13-1000)*C$25/100,169000*C$25/100))</f>
        <v>0</v>
      </c>
      <c r="D40" s="1">
        <f>IF('Invoer en uitkomst'!B14&lt;1001,0,IF(AND('Invoer en uitkomst'!B14&gt;1000,'Invoer en uitkomst'!B14&lt;170001),('Invoer en uitkomst'!B14-1000)*D$25/100,169000*D$25/100))</f>
        <v>0</v>
      </c>
      <c r="E40" s="1">
        <f>IF('Invoer en uitkomst'!B15&lt;1001,0,IF(AND('Invoer en uitkomst'!B15&gt;1000,'Invoer en uitkomst'!B15&lt;170001),('Invoer en uitkomst'!B15-1000)*E$25/100,169000*E$25/100))</f>
        <v>0</v>
      </c>
      <c r="F40" s="1">
        <f>IF('Invoer en uitkomst'!B16&lt;1001,0,IF(AND('Invoer en uitkomst'!B16&gt;1000,'Invoer en uitkomst'!B16&lt;170001),('Invoer en uitkomst'!B16-1000)*F$25/100,169000*F$25/100))</f>
        <v>0</v>
      </c>
      <c r="G40" s="1">
        <f>IF('Invoer en uitkomst'!B17&lt;1001,0,IF(AND('Invoer en uitkomst'!B17&gt;1000,'Invoer en uitkomst'!B17&lt;170001),('Invoer en uitkomst'!B17-1000)*G$25/100,169000*G$25/100))</f>
        <v>0</v>
      </c>
      <c r="H40" s="1">
        <f>IF('Invoer en uitkomst'!B18&lt;1001,0,IF(AND('Invoer en uitkomst'!B18&gt;1000,'Invoer en uitkomst'!B18&lt;170001),('Invoer en uitkomst'!B18-1000)*H$25/100,169000*H$25/100))</f>
        <v>0</v>
      </c>
      <c r="I40" s="1">
        <f>IF('Invoer en uitkomst'!B19&lt;1001,0,IF(AND('Invoer en uitkomst'!B19&gt;1000,'Invoer en uitkomst'!B19&lt;170001),('Invoer en uitkomst'!B19-1000)*I$25/100,169000*I$25/100))</f>
        <v>0</v>
      </c>
    </row>
    <row r="41" spans="1:33" x14ac:dyDescent="0.3">
      <c r="A41" t="s">
        <v>26</v>
      </c>
      <c r="B41" s="1">
        <f>IF('Invoer en uitkomst'!B12&lt;170001,0,IF(AND('Invoer en uitkomst'!B12&gt;170000,'Invoer en uitkomst'!B12&lt;1000001),('Invoer en uitkomst'!B12-170000)*B$26/100,830000*B$26/100))</f>
        <v>0</v>
      </c>
      <c r="C41" s="1">
        <f>IF('Invoer en uitkomst'!B13&lt;170001,0,IF(AND('Invoer en uitkomst'!B13&gt;170000,'Invoer en uitkomst'!B13&lt;1000001),('Invoer en uitkomst'!B13-170000)*C$26/100,830000*C$26/100))</f>
        <v>0</v>
      </c>
      <c r="D41" s="1">
        <f>IF('Invoer en uitkomst'!B14&lt;170001,0,IF(AND('Invoer en uitkomst'!B14&gt;170000,'Invoer en uitkomst'!B14&lt;1000001),('Invoer en uitkomst'!B14-170000)*D$26/100,830000*D$26/100))</f>
        <v>0</v>
      </c>
      <c r="E41" s="1">
        <f>IF('Invoer en uitkomst'!B15&lt;170001,0,IF(AND('Invoer en uitkomst'!B15&gt;170000,'Invoer en uitkomst'!B15&lt;1000001),('Invoer en uitkomst'!B15-170000)*E$26/100,830000*E$26/100))</f>
        <v>0</v>
      </c>
      <c r="F41" s="1">
        <f>IF('Invoer en uitkomst'!B16&lt;170001,0,IF(AND('Invoer en uitkomst'!B16&gt;170000,'Invoer en uitkomst'!B16&lt;1000001),('Invoer en uitkomst'!B16-170000)*F$26/100,830000*F$26/100))</f>
        <v>0</v>
      </c>
      <c r="G41" s="1">
        <f>IF('Invoer en uitkomst'!B17&lt;170001,0,IF(AND('Invoer en uitkomst'!B17&gt;170000,'Invoer en uitkomst'!B17&lt;1000001),('Invoer en uitkomst'!B17-170000)*G$26/100,830000*G$26/100))</f>
        <v>0</v>
      </c>
      <c r="H41" s="1">
        <f>IF('Invoer en uitkomst'!B18&lt;170001,0,IF(AND('Invoer en uitkomst'!B18&gt;170000,'Invoer en uitkomst'!B18&lt;1000001),('Invoer en uitkomst'!B18-170000)*H$26/100,830000*H$26/100))</f>
        <v>0</v>
      </c>
      <c r="I41" s="1">
        <f>IF('Invoer en uitkomst'!B19&lt;170001,0,IF(AND('Invoer en uitkomst'!B19&gt;170000,'Invoer en uitkomst'!B19&lt;1000001),('Invoer en uitkomst'!B19-170000)*I$26/100,830000*I$26/100))</f>
        <v>0</v>
      </c>
    </row>
    <row r="42" spans="1:33" x14ac:dyDescent="0.3">
      <c r="A42" t="s">
        <v>27</v>
      </c>
      <c r="B42" s="1">
        <f>IF('Invoer en uitkomst'!B12&lt;1000001,0,IF(AND('Invoer en uitkomst'!B12&gt;1000000,'Invoer en uitkomst'!B12&lt;10000001),('Invoer en uitkomst'!B12-1000000)*B$27/100,90000*B$27))</f>
        <v>0</v>
      </c>
      <c r="C42" s="1">
        <f>IF('Invoer en uitkomst'!B13&lt;1000001,0,IF(AND('Invoer en uitkomst'!B13&gt;1000000,'Invoer en uitkomst'!B13&lt;10000001),('Invoer en uitkomst'!B13-1000000)*C$27/100,90000*C$27))</f>
        <v>0</v>
      </c>
      <c r="D42" s="1">
        <f>IF('Invoer en uitkomst'!B14&lt;1000001,0,IF(AND('Invoer en uitkomst'!B14&gt;1000000,'Invoer en uitkomst'!B14&lt;10000001),('Invoer en uitkomst'!B14-1000000)*D$27/100,90000*D$27))</f>
        <v>0</v>
      </c>
      <c r="E42" s="1">
        <f>IF('Invoer en uitkomst'!B15&lt;1000001,0,IF(AND('Invoer en uitkomst'!B15&gt;1000000,'Invoer en uitkomst'!B15&lt;10000001),('Invoer en uitkomst'!B15-1000000)*E$27/100,90000*E$27))</f>
        <v>0</v>
      </c>
      <c r="F42" s="1">
        <f>IF('Invoer en uitkomst'!B16&lt;1000001,0,IF(AND('Invoer en uitkomst'!B16&gt;1000000,'Invoer en uitkomst'!B16&lt;10000001),('Invoer en uitkomst'!B16-1000000)*F$27/100,90000*F$27))</f>
        <v>0</v>
      </c>
      <c r="G42" s="1">
        <f>IF('Invoer en uitkomst'!B17&lt;1000001,0,IF(AND('Invoer en uitkomst'!B17&gt;1000000,'Invoer en uitkomst'!B17&lt;10000001),('Invoer en uitkomst'!B17-1000000)*G$27/100,90000*G$27))</f>
        <v>0</v>
      </c>
      <c r="H42" s="1">
        <f>IF('Invoer en uitkomst'!B18&lt;1000001,0,IF(AND('Invoer en uitkomst'!B18&gt;1000000,'Invoer en uitkomst'!B18&lt;10000001),('Invoer en uitkomst'!B18-1000000)*H$27/100,90000*H$27))</f>
        <v>0</v>
      </c>
      <c r="I42" s="1">
        <f>IF('Invoer en uitkomst'!B19&lt;1000001,0,IF(AND('Invoer en uitkomst'!B19&gt;1000000,'Invoer en uitkomst'!B19&lt;10000001),('Invoer en uitkomst'!B19-1000000)*I$27/100,90000*I$27))</f>
        <v>0</v>
      </c>
    </row>
    <row r="43" spans="1:33" x14ac:dyDescent="0.3">
      <c r="A43" t="s">
        <v>28</v>
      </c>
      <c r="B43" s="1">
        <f>IF('Invoer en uitkomst'!B12&lt;(10^7+1),0,('Invoer en uitkomst'!B12-10000000)*B$28/100)</f>
        <v>0</v>
      </c>
      <c r="C43" s="1">
        <f>IF('Invoer en uitkomst'!B13&lt;(10^7+1),0,('Invoer en uitkomst'!B13-10000000)*C$28/100)</f>
        <v>0</v>
      </c>
      <c r="D43" s="1">
        <f>IF('Invoer en uitkomst'!B14&lt;(10^7+1),0,('Invoer en uitkomst'!B14-10000000)*D$28/100)</f>
        <v>0</v>
      </c>
      <c r="E43" s="1">
        <f>IF('Invoer en uitkomst'!B15&lt;(10^7+1),0,('Invoer en uitkomst'!B15-10000000)*E$28/100)</f>
        <v>0</v>
      </c>
      <c r="F43" s="1">
        <f>IF('Invoer en uitkomst'!B16&lt;(10^7+1),0,('Invoer en uitkomst'!B16-10000000)*F$28/100)</f>
        <v>0</v>
      </c>
      <c r="G43" s="1">
        <f>IF('Invoer en uitkomst'!B17&lt;(10^7+1),0,('Invoer en uitkomst'!B17-10000000)*G$28/100)</f>
        <v>0</v>
      </c>
      <c r="H43" s="1">
        <f>IF('Invoer en uitkomst'!B18&lt;(10^7+1),0,('Invoer en uitkomst'!B18-10000000)*H$28/100)</f>
        <v>0</v>
      </c>
      <c r="I43" s="1">
        <f>IF('Invoer en uitkomst'!B19&lt;(10^7+1),0,('Invoer en uitkomst'!B19-10000000)*I$28/100)</f>
        <v>0</v>
      </c>
    </row>
    <row r="44" spans="1:33" ht="15" thickBot="1" x14ac:dyDescent="0.35">
      <c r="A44" t="s">
        <v>29</v>
      </c>
      <c r="B44" s="27">
        <f>SUM(B39:B43)</f>
        <v>0</v>
      </c>
      <c r="C44" s="27">
        <f t="shared" ref="C44:I44" si="4">SUM(C39:C43)</f>
        <v>0</v>
      </c>
      <c r="D44" s="27">
        <f t="shared" si="4"/>
        <v>0</v>
      </c>
      <c r="E44" s="27">
        <f t="shared" si="4"/>
        <v>0</v>
      </c>
      <c r="F44" s="27">
        <f t="shared" si="4"/>
        <v>0</v>
      </c>
      <c r="G44" s="27">
        <f t="shared" si="4"/>
        <v>0</v>
      </c>
      <c r="H44" s="27">
        <f t="shared" si="4"/>
        <v>0</v>
      </c>
      <c r="I44" s="27">
        <f t="shared" si="4"/>
        <v>0</v>
      </c>
    </row>
    <row r="45" spans="1:33" ht="15" thickTop="1" x14ac:dyDescent="0.3"/>
    <row r="46" spans="1:33" x14ac:dyDescent="0.3">
      <c r="A46" t="s">
        <v>47</v>
      </c>
      <c r="B46" s="8">
        <v>2023</v>
      </c>
      <c r="C46" s="8">
        <v>2024</v>
      </c>
      <c r="D46" s="8">
        <v>2025</v>
      </c>
      <c r="E46" s="8">
        <v>2026</v>
      </c>
      <c r="F46" s="8">
        <v>2027</v>
      </c>
      <c r="G46" s="8">
        <v>2028</v>
      </c>
      <c r="H46" s="8">
        <v>2029</v>
      </c>
      <c r="I46" s="8">
        <v>2030</v>
      </c>
    </row>
    <row r="47" spans="1:33" x14ac:dyDescent="0.3">
      <c r="A47" t="s">
        <v>24</v>
      </c>
      <c r="B47" s="1" t="e">
        <f>IF('Invoer en uitkomst'!H12&lt;1001,'Invoer en uitkomst'!$H12*B$24/100,1000*B$24/100)</f>
        <v>#DIV/0!</v>
      </c>
      <c r="C47" s="1" t="e">
        <f>IF('Invoer en uitkomst'!H13&lt;1001,'Invoer en uitkomst'!H13*C$24/100,1000*C$24/100)</f>
        <v>#DIV/0!</v>
      </c>
      <c r="D47" s="1" t="e">
        <f>IF('Invoer en uitkomst'!H14&lt;1001,'Invoer en uitkomst'!H14*D$24/100,1000*D$24/100)</f>
        <v>#DIV/0!</v>
      </c>
      <c r="E47" s="1" t="e">
        <f>IF('Invoer en uitkomst'!H15&lt;1001,'Invoer en uitkomst'!H15*E$24/100,1000*E$24/100)</f>
        <v>#DIV/0!</v>
      </c>
      <c r="F47" s="1" t="e">
        <f>IF('Invoer en uitkomst'!H16&lt;1001,'Invoer en uitkomst'!H16*F$24/100,1000*F$24/100)</f>
        <v>#DIV/0!</v>
      </c>
      <c r="G47" s="1" t="e">
        <f>IF('Invoer en uitkomst'!H17&lt;1001,'Invoer en uitkomst'!H17*G$24/100,1000*G$24/100)</f>
        <v>#DIV/0!</v>
      </c>
      <c r="H47" s="1" t="e">
        <f>IF('Invoer en uitkomst'!H18&lt;1001,'Invoer en uitkomst'!H18*H$24/100,1000*H$24/100)</f>
        <v>#DIV/0!</v>
      </c>
      <c r="I47" s="1" t="e">
        <f>IF('Invoer en uitkomst'!H19&lt;1001,'Invoer en uitkomst'!H19*I$24/100,1000*I$24/100)</f>
        <v>#DIV/0!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3">
      <c r="A48" t="s">
        <v>25</v>
      </c>
      <c r="B48" s="1" t="e">
        <f>IF('Invoer en uitkomst'!H12&lt;1001,0,IF(AND('Invoer en uitkomst'!H12&gt;1000,'Invoer en uitkomst'!H12&lt;170001),('Invoer en uitkomst'!H12-1000)*B$25/100,169000*B$25/100))</f>
        <v>#DIV/0!</v>
      </c>
      <c r="C48" s="1" t="e">
        <f>IF('Invoer en uitkomst'!H13&lt;1001,0,IF(AND('Invoer en uitkomst'!H13&gt;1000,'Invoer en uitkomst'!H13&lt;170001),('Invoer en uitkomst'!H13-1000)*C$25/100,169000*C$25/100))</f>
        <v>#DIV/0!</v>
      </c>
      <c r="D48" s="1" t="e">
        <f>IF('Invoer en uitkomst'!H14&lt;1001,0,IF(AND('Invoer en uitkomst'!H14&gt;1000,'Invoer en uitkomst'!H14&lt;170001),('Invoer en uitkomst'!H14-1000)*D$25/100,169000*D$25/100))</f>
        <v>#DIV/0!</v>
      </c>
      <c r="E48" s="1" t="e">
        <f>IF('Invoer en uitkomst'!H15&lt;1001,0,IF(AND('Invoer en uitkomst'!H15&gt;1000,'Invoer en uitkomst'!H15&lt;170001),('Invoer en uitkomst'!H15-1000)*E$25/100,169000*E$25/100))</f>
        <v>#DIV/0!</v>
      </c>
      <c r="F48" s="1" t="e">
        <f>IF('Invoer en uitkomst'!H16&lt;1001,0,IF(AND('Invoer en uitkomst'!H16&gt;1000,'Invoer en uitkomst'!H16&lt;170001),('Invoer en uitkomst'!H16-1000)*F$25/100,169000*F$25/100))</f>
        <v>#DIV/0!</v>
      </c>
      <c r="G48" s="1" t="e">
        <f>IF('Invoer en uitkomst'!H17&lt;1001,0,IF(AND('Invoer en uitkomst'!H17&gt;1000,'Invoer en uitkomst'!H17&lt;170001),('Invoer en uitkomst'!H17-1000)*G$25/100,169000*G$25/100))</f>
        <v>#DIV/0!</v>
      </c>
      <c r="H48" s="1" t="e">
        <f>IF('Invoer en uitkomst'!H18&lt;1001,0,IF(AND('Invoer en uitkomst'!H18&gt;1000,'Invoer en uitkomst'!H18&lt;170001),('Invoer en uitkomst'!H18-1000)*H$25/100,169000*H$25/100))</f>
        <v>#DIV/0!</v>
      </c>
      <c r="I48" s="1" t="e">
        <f>IF('Invoer en uitkomst'!H19&lt;1001,0,IF(AND('Invoer en uitkomst'!H19&gt;1000,'Invoer en uitkomst'!H19&lt;170001),('Invoer en uitkomst'!H19-1000)*I$25/100,169000*I$25/100))</f>
        <v>#DIV/0!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3">
      <c r="A49" t="s">
        <v>26</v>
      </c>
      <c r="B49" s="1" t="e">
        <f>IF('Invoer en uitkomst'!H12&lt;170001,0,IF(AND('Invoer en uitkomst'!H12&gt;170000,'Invoer en uitkomst'!H12&lt;1000001),('Invoer en uitkomst'!H12-170000)*B$26/100,830000*B$26/100))</f>
        <v>#DIV/0!</v>
      </c>
      <c r="C49" s="1" t="e">
        <f>IF('Invoer en uitkomst'!H13&lt;170001,0,IF(AND('Invoer en uitkomst'!H13&gt;170000,'Invoer en uitkomst'!H13&lt;1000001),('Invoer en uitkomst'!H13-170000)*C$26/100,830000*C$26/100))</f>
        <v>#DIV/0!</v>
      </c>
      <c r="D49" s="1" t="e">
        <f>IF('Invoer en uitkomst'!H14&lt;170001,0,IF(AND('Invoer en uitkomst'!H14&gt;170000,'Invoer en uitkomst'!H14&lt;1000001),('Invoer en uitkomst'!H14-170000)*D$26/100,830000*D$26/100))</f>
        <v>#DIV/0!</v>
      </c>
      <c r="E49" s="1" t="e">
        <f>IF('Invoer en uitkomst'!H15&lt;170001,0,IF(AND('Invoer en uitkomst'!H15&gt;170000,'Invoer en uitkomst'!H15&lt;1000001),('Invoer en uitkomst'!H15-170000)*E$26/100,830000*E$26/100))</f>
        <v>#DIV/0!</v>
      </c>
      <c r="F49" s="1" t="e">
        <f>IF('Invoer en uitkomst'!H16&lt;170001,0,IF(AND('Invoer en uitkomst'!H16&gt;170000,'Invoer en uitkomst'!H16&lt;1000001),('Invoer en uitkomst'!H16-170000)*F$26/100,830000*F$26/100))</f>
        <v>#DIV/0!</v>
      </c>
      <c r="G49" s="1" t="e">
        <f>IF('Invoer en uitkomst'!H17&lt;170001,0,IF(AND('Invoer en uitkomst'!H17&gt;170000,'Invoer en uitkomst'!H17&lt;1000001),('Invoer en uitkomst'!H17-170000)*G$26/100,830000*G$26/100))</f>
        <v>#DIV/0!</v>
      </c>
      <c r="H49" s="1" t="e">
        <f>IF('Invoer en uitkomst'!H18&lt;170001,0,IF(AND('Invoer en uitkomst'!H18&gt;170000,'Invoer en uitkomst'!H18&lt;1000001),('Invoer en uitkomst'!H18-170000)*H$26/100,830000*H$26/100))</f>
        <v>#DIV/0!</v>
      </c>
      <c r="I49" s="1" t="e">
        <f>IF('Invoer en uitkomst'!H19&lt;170001,0,IF(AND('Invoer en uitkomst'!H19&gt;170000,'Invoer en uitkomst'!H19&lt;1000001),('Invoer en uitkomst'!H19-170000)*I$26/100,830000*I$26/100))</f>
        <v>#DIV/0!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3">
      <c r="A50" t="s">
        <v>27</v>
      </c>
      <c r="B50" s="1" t="e">
        <f>IF('Invoer en uitkomst'!H12&lt;1000001,0,IF(AND('Invoer en uitkomst'!H12&gt;1000000,'Invoer en uitkomst'!H12&lt;10000001),('Invoer en uitkomst'!H12-1000000)*B$27/100,90000*B$27))</f>
        <v>#DIV/0!</v>
      </c>
      <c r="C50" s="1" t="e">
        <f>IF('Invoer en uitkomst'!H13&lt;1000001,0,IF(AND('Invoer en uitkomst'!H13&gt;1000000,'Invoer en uitkomst'!H13&lt;10000001),('Invoer en uitkomst'!H13-1000000)*C$27/100,90000*C$27))</f>
        <v>#DIV/0!</v>
      </c>
      <c r="D50" s="1" t="e">
        <f>IF('Invoer en uitkomst'!H14&lt;1000001,0,IF(AND('Invoer en uitkomst'!H14&gt;1000000,'Invoer en uitkomst'!H14&lt;10000001),('Invoer en uitkomst'!H14-1000000)*D$27/100,90000*D$27))</f>
        <v>#DIV/0!</v>
      </c>
      <c r="E50" s="1" t="e">
        <f>IF('Invoer en uitkomst'!H15&lt;1000001,0,IF(AND('Invoer en uitkomst'!H15&gt;1000000,'Invoer en uitkomst'!H15&lt;10000001),('Invoer en uitkomst'!H15-1000000)*E$27/100,90000*E$27))</f>
        <v>#DIV/0!</v>
      </c>
      <c r="F50" s="1" t="e">
        <f>IF('Invoer en uitkomst'!H16&lt;1000001,0,IF(AND('Invoer en uitkomst'!H16&gt;1000000,'Invoer en uitkomst'!H16&lt;10000001),('Invoer en uitkomst'!H16-1000000)*F$27/100,90000*F$27))</f>
        <v>#DIV/0!</v>
      </c>
      <c r="G50" s="1" t="e">
        <f>IF('Invoer en uitkomst'!H17&lt;1000001,0,IF(AND('Invoer en uitkomst'!H17&gt;1000000,'Invoer en uitkomst'!H17&lt;10000001),('Invoer en uitkomst'!H17-1000000)*G$27/100,90000*G$27))</f>
        <v>#DIV/0!</v>
      </c>
      <c r="H50" s="1" t="e">
        <f>IF('Invoer en uitkomst'!H18&lt;1000001,0,IF(AND('Invoer en uitkomst'!H18&gt;1000000,'Invoer en uitkomst'!H18&lt;10000001),('Invoer en uitkomst'!H18-1000000)*H$27/100,90000*H$27))</f>
        <v>#DIV/0!</v>
      </c>
      <c r="I50" s="1" t="e">
        <f>IF('Invoer en uitkomst'!H19&lt;1000001,0,IF(AND('Invoer en uitkomst'!H19&gt;1000000,'Invoer en uitkomst'!H19&lt;10000001),('Invoer en uitkomst'!H19-1000000)*I$27/100,90000*I$27))</f>
        <v>#DIV/0!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3">
      <c r="A51" t="s">
        <v>28</v>
      </c>
      <c r="B51" s="1" t="e">
        <f>IF('Invoer en uitkomst'!H12&lt;(10^7+1),0,('Invoer en uitkomst'!H12-10000000)*B$28/100)</f>
        <v>#DIV/0!</v>
      </c>
      <c r="C51" s="1" t="e">
        <f>IF('Invoer en uitkomst'!H13&lt;(10^7+1),0,('Invoer en uitkomst'!H13-10000000)*C$28/100)</f>
        <v>#DIV/0!</v>
      </c>
      <c r="D51" s="1" t="e">
        <f>IF('Invoer en uitkomst'!H14&lt;(10^7+1),0,('Invoer en uitkomst'!H14-10000000)*D$28/100)</f>
        <v>#DIV/0!</v>
      </c>
      <c r="E51" s="1" t="e">
        <f>IF('Invoer en uitkomst'!H15&lt;(10^7+1),0,('Invoer en uitkomst'!H15-10000000)*E$28/100)</f>
        <v>#DIV/0!</v>
      </c>
      <c r="F51" s="1" t="e">
        <f>IF('Invoer en uitkomst'!H16&lt;(10^7+1),0,('Invoer en uitkomst'!H16-10000000)*F$28/100)</f>
        <v>#DIV/0!</v>
      </c>
      <c r="G51" s="1" t="e">
        <f>IF('Invoer en uitkomst'!H17&lt;(10^7+1),0,('Invoer en uitkomst'!H17-10000000)*G$28/100)</f>
        <v>#DIV/0!</v>
      </c>
      <c r="H51" s="1" t="e">
        <f>IF('Invoer en uitkomst'!H18&lt;(10^7+1),0,('Invoer en uitkomst'!H18-10000000)*H$28/100)</f>
        <v>#DIV/0!</v>
      </c>
      <c r="I51" s="1" t="e">
        <f>IF('Invoer en uitkomst'!H19&lt;(10^7+1),0,('Invoer en uitkomst'!H19-10000000)*I$28/100)</f>
        <v>#DIV/0!</v>
      </c>
    </row>
    <row r="52" spans="1:33" ht="15" thickBot="1" x14ac:dyDescent="0.35">
      <c r="A52" t="s">
        <v>29</v>
      </c>
      <c r="B52" s="27" t="e">
        <f>SUM(B47:B51)</f>
        <v>#DIV/0!</v>
      </c>
      <c r="C52" s="27" t="e">
        <f t="shared" ref="C52:I52" si="5">SUM(C47:C51)</f>
        <v>#DIV/0!</v>
      </c>
      <c r="D52" s="27" t="e">
        <f t="shared" si="5"/>
        <v>#DIV/0!</v>
      </c>
      <c r="E52" s="27" t="e">
        <f t="shared" si="5"/>
        <v>#DIV/0!</v>
      </c>
      <c r="F52" s="27" t="e">
        <f t="shared" si="5"/>
        <v>#DIV/0!</v>
      </c>
      <c r="G52" s="27" t="e">
        <f t="shared" si="5"/>
        <v>#DIV/0!</v>
      </c>
      <c r="H52" s="27" t="e">
        <f t="shared" si="5"/>
        <v>#DIV/0!</v>
      </c>
      <c r="I52" s="27" t="e">
        <f t="shared" si="5"/>
        <v>#DIV/0!</v>
      </c>
    </row>
    <row r="53" spans="1:33" ht="15" thickTop="1" x14ac:dyDescent="0.3">
      <c r="B53" s="1"/>
    </row>
    <row r="54" spans="1:33" x14ac:dyDescent="0.3">
      <c r="A54" t="s">
        <v>31</v>
      </c>
      <c r="B54" s="8">
        <v>2023</v>
      </c>
      <c r="C54" s="8">
        <v>2024</v>
      </c>
      <c r="D54" s="8">
        <v>2025</v>
      </c>
      <c r="E54" s="8">
        <v>2026</v>
      </c>
      <c r="F54" s="8">
        <v>2027</v>
      </c>
      <c r="G54" s="8">
        <v>2028</v>
      </c>
      <c r="H54" s="8">
        <v>2029</v>
      </c>
      <c r="I54" s="8">
        <v>2030</v>
      </c>
    </row>
    <row r="55" spans="1:33" x14ac:dyDescent="0.3">
      <c r="A55" t="s">
        <v>24</v>
      </c>
      <c r="B55" s="1">
        <f>IF('Invoer en uitkomst'!$D$12&lt;2.91,'Invoer en uitkomst'!$D$12*B$32,2.9*B$32)</f>
        <v>0</v>
      </c>
      <c r="C55" s="1">
        <f>IF('Invoer en uitkomst'!$D$12&lt;2.9,'Invoer en uitkomst'!$D$12*C$32,2.9*C$32)</f>
        <v>0</v>
      </c>
      <c r="D55" s="1">
        <f>IF('Invoer en uitkomst'!$D$12&lt;2.9,'Invoer en uitkomst'!$D$12*D$32,2.9*D$32)</f>
        <v>0</v>
      </c>
      <c r="E55" s="1">
        <f>IF('Invoer en uitkomst'!$D$12&lt;2.9,'Invoer en uitkomst'!$D$12*E$32,2.9*E$32)</f>
        <v>0</v>
      </c>
      <c r="F55" s="1">
        <f>IF('Invoer en uitkomst'!$D$12&lt;2.9,'Invoer en uitkomst'!$D$12*F$32,2.9*F$32)</f>
        <v>0</v>
      </c>
      <c r="G55" s="1">
        <f>IF('Invoer en uitkomst'!$D$12&lt;2.9,'Invoer en uitkomst'!$D$12*G$32,2.9*G$32)</f>
        <v>0</v>
      </c>
      <c r="H55" s="1">
        <f>IF('Invoer en uitkomst'!$D$12&lt;2.9,'Invoer en uitkomst'!$D$12*H$32,2.9*H$32)</f>
        <v>0</v>
      </c>
      <c r="I55" s="1">
        <f>IF('Invoer en uitkomst'!$D$12&lt;2.9,'Invoer en uitkomst'!$D$12*I$32,2.9*I$32)</f>
        <v>0</v>
      </c>
    </row>
    <row r="56" spans="1:33" x14ac:dyDescent="0.3">
      <c r="A56" t="s">
        <v>25</v>
      </c>
      <c r="B56" s="1">
        <f>IF('Invoer en uitkomst'!$D$12&lt;2.91,0,IF('Invoer en uitkomst'!$D$12&lt;10.01,'Invoer en uitkomst'!$D$12*B$32,7.1*B$32))</f>
        <v>0</v>
      </c>
      <c r="C56" s="1">
        <f>IF('Invoer en uitkomst'!$D$12&lt;2.91,0,IF('Invoer en uitkomst'!$D$12&lt;10.01,'Invoer en uitkomst'!$D$12*C$32,7.1*C$32))</f>
        <v>0</v>
      </c>
      <c r="D56" s="1">
        <f>IF('Invoer en uitkomst'!$D$12&lt;2.91,0,IF('Invoer en uitkomst'!$D$12&lt;10.01,'Invoer en uitkomst'!$D$12*D$32,7.1*D$32))</f>
        <v>0</v>
      </c>
      <c r="E56" s="1">
        <f>IF('Invoer en uitkomst'!$D$12&lt;2.91,0,IF('Invoer en uitkomst'!$D$12&lt;10.01,'Invoer en uitkomst'!$D$12*E$32,7.1*E$32))</f>
        <v>0</v>
      </c>
      <c r="F56" s="1">
        <f>IF('Invoer en uitkomst'!$D$12&lt;2.91,0,IF('Invoer en uitkomst'!$D$12&lt;10.01,'Invoer en uitkomst'!$D$12*F$32,7.1*F$32))</f>
        <v>0</v>
      </c>
      <c r="G56" s="1">
        <f>IF('Invoer en uitkomst'!$D$12&lt;2.91,0,IF('Invoer en uitkomst'!$D$12&lt;10.01,'Invoer en uitkomst'!$D$12*G$32,7.1*G$32))</f>
        <v>0</v>
      </c>
      <c r="H56" s="1">
        <f>IF('Invoer en uitkomst'!$D$12&lt;2.91,0,IF('Invoer en uitkomst'!$D$12&lt;10.01,'Invoer en uitkomst'!$D$12*H$32,7.1*H$32))</f>
        <v>0</v>
      </c>
      <c r="I56" s="1">
        <f>IF('Invoer en uitkomst'!$D$12&lt;2.91,0,IF('Invoer en uitkomst'!$D$12&lt;10.01,'Invoer en uitkomst'!$D$12*I$32,7.1*I$32))</f>
        <v>0</v>
      </c>
    </row>
    <row r="57" spans="1:33" x14ac:dyDescent="0.3">
      <c r="A57" t="s">
        <v>26</v>
      </c>
      <c r="B57" s="1">
        <f>IF('Invoer en uitkomst'!$D12&lt;10.01,0,IF(AND('Invoer en uitkomst'!$D12&gt;10,'Invoer en uitkomst'!$D12&lt;50.01),('Invoer en uitkomst'!$D12-10)*B$33,40*B$33))</f>
        <v>0</v>
      </c>
      <c r="C57" s="1">
        <f>IF('Invoer en uitkomst'!$D12&lt;10.01,0,IF(AND('Invoer en uitkomst'!$D12&gt;10,'Invoer en uitkomst'!$D12&lt;50.01),('Invoer en uitkomst'!$D12-10)*C$33,40*C$33))</f>
        <v>0</v>
      </c>
      <c r="D57" s="1">
        <f>IF('Invoer en uitkomst'!$D12&lt;10.01,0,IF(AND('Invoer en uitkomst'!$D12&gt;10,'Invoer en uitkomst'!$D12&lt;50.01),('Invoer en uitkomst'!$D12-10)*D$33,40*D$33))</f>
        <v>0</v>
      </c>
      <c r="E57" s="1">
        <f>IF('Invoer en uitkomst'!$D12&lt;10.01,0,IF(AND('Invoer en uitkomst'!$D12&gt;10,'Invoer en uitkomst'!$D12&lt;50.01),('Invoer en uitkomst'!$D12-10)*E$33,40*E$33))</f>
        <v>0</v>
      </c>
      <c r="F57" s="1">
        <f>IF('Invoer en uitkomst'!$D12&lt;10.01,0,IF(AND('Invoer en uitkomst'!$D12&gt;10,'Invoer en uitkomst'!$D12&lt;50.01),('Invoer en uitkomst'!$D12-10)*F$33,40*F$33))</f>
        <v>0</v>
      </c>
      <c r="G57" s="1">
        <f>IF('Invoer en uitkomst'!$D12&lt;10.01,0,IF(AND('Invoer en uitkomst'!$D12&gt;10,'Invoer en uitkomst'!$D12&lt;50.01),('Invoer en uitkomst'!$D12-10)*G$33,40*G$33))</f>
        <v>0</v>
      </c>
      <c r="H57" s="1">
        <f>IF('Invoer en uitkomst'!$D12&lt;10.01,0,IF(AND('Invoer en uitkomst'!$D12&gt;10,'Invoer en uitkomst'!$D12&lt;50.01),('Invoer en uitkomst'!$D12-10)*H$33,40*H$33))</f>
        <v>0</v>
      </c>
      <c r="I57" s="1">
        <f>IF('Invoer en uitkomst'!$D12&lt;10.01,0,IF(AND('Invoer en uitkomst'!$D12&gt;10,'Invoer en uitkomst'!$D12&lt;50.01),('Invoer en uitkomst'!$D12-10)*I$33,40*I$33))</f>
        <v>0</v>
      </c>
    </row>
    <row r="58" spans="1:33" x14ac:dyDescent="0.3">
      <c r="A58" t="s">
        <v>27</v>
      </c>
      <c r="B58" s="1">
        <f>IF('Invoer en uitkomst'!$D12&lt;50.01,0,IF(AND('Invoer en uitkomst'!$D12&gt;50,'Invoer en uitkomst'!$D12&lt;10000.01),('Invoer en uitkomst'!$D12-50)*B$34,9950*B$34))</f>
        <v>0</v>
      </c>
      <c r="C58" s="1">
        <f>IF('Invoer en uitkomst'!$D12&lt;50.01,0,IF(AND('Invoer en uitkomst'!$D12&gt;50,'Invoer en uitkomst'!$D12&lt;10000.01),('Invoer en uitkomst'!$D12-50)*C$34,9950*C$34))</f>
        <v>0</v>
      </c>
      <c r="D58" s="1">
        <f>IF('Invoer en uitkomst'!$D12&lt;50.01,0,IF(AND('Invoer en uitkomst'!$D12&gt;50,'Invoer en uitkomst'!$D12&lt;10000.01),('Invoer en uitkomst'!$D12-50)*D$34,9950*D$34))</f>
        <v>0</v>
      </c>
      <c r="E58" s="1">
        <f>IF('Invoer en uitkomst'!$D12&lt;50.01,0,IF(AND('Invoer en uitkomst'!$D12&gt;50,'Invoer en uitkomst'!$D12&lt;10000.01),('Invoer en uitkomst'!$D12-50)*E$34,9950*E$34))</f>
        <v>0</v>
      </c>
      <c r="F58" s="1">
        <f>IF('Invoer en uitkomst'!$D12&lt;50.01,0,IF(AND('Invoer en uitkomst'!$D12&gt;50,'Invoer en uitkomst'!$D12&lt;10000.01),('Invoer en uitkomst'!$D12-50)*F$34,9950*F$34))</f>
        <v>0</v>
      </c>
      <c r="G58" s="1">
        <f>IF('Invoer en uitkomst'!$D12&lt;50.01,0,IF(AND('Invoer en uitkomst'!$D12&gt;50,'Invoer en uitkomst'!$D12&lt;10000.01),('Invoer en uitkomst'!$D12-50)*G$34,9950*G$34))</f>
        <v>0</v>
      </c>
      <c r="H58" s="1">
        <f>IF('Invoer en uitkomst'!$D12&lt;50.01,0,IF(AND('Invoer en uitkomst'!$D12&gt;50,'Invoer en uitkomst'!$D12&lt;10000.01),('Invoer en uitkomst'!$D12-50)*H$34,9950*H$34))</f>
        <v>0</v>
      </c>
      <c r="I58" s="1">
        <f>IF('Invoer en uitkomst'!$D12&lt;50.01,0,IF(AND('Invoer en uitkomst'!$D12&gt;50,'Invoer en uitkomst'!$D12&lt;10000.01),('Invoer en uitkomst'!$D12-50)*I$34,9950*I$34))</f>
        <v>0</v>
      </c>
    </row>
    <row r="59" spans="1:33" x14ac:dyDescent="0.3">
      <c r="A59" t="s">
        <v>28</v>
      </c>
      <c r="B59" s="1">
        <f>IF('Invoer en uitkomst'!$D12&lt;10000.01,0,('Invoer en uitkomst'!$D12-10000)*B$35)</f>
        <v>0</v>
      </c>
      <c r="C59" s="1">
        <f>IF('Invoer en uitkomst'!$D12&lt;10000.01,0,('Invoer en uitkomst'!$D12-10000)*C$35)</f>
        <v>0</v>
      </c>
      <c r="D59" s="1">
        <f>IF('Invoer en uitkomst'!$D12&lt;10000.01,0,('Invoer en uitkomst'!$D12-10000)*D$35)</f>
        <v>0</v>
      </c>
      <c r="E59" s="1">
        <f>IF('Invoer en uitkomst'!$D12&lt;10000.01,0,('Invoer en uitkomst'!$D12-10000)*E$35)</f>
        <v>0</v>
      </c>
      <c r="F59" s="1">
        <f>IF('Invoer en uitkomst'!$D12&lt;10000.01,0,('Invoer en uitkomst'!$D12-10000)*F$35)</f>
        <v>0</v>
      </c>
      <c r="G59" s="1">
        <f>IF('Invoer en uitkomst'!$D12&lt;10000.01,0,('Invoer en uitkomst'!$D12-10000)*G$35)</f>
        <v>0</v>
      </c>
      <c r="H59" s="1">
        <f>IF('Invoer en uitkomst'!$D12&lt;10000.01,0,('Invoer en uitkomst'!$D12-10000)*H$35)</f>
        <v>0</v>
      </c>
      <c r="I59" s="1">
        <f>IF('Invoer en uitkomst'!$D12&lt;10000.01,0,('Invoer en uitkomst'!$D12-10000)*I$35)</f>
        <v>0</v>
      </c>
    </row>
    <row r="60" spans="1:33" ht="15" thickBot="1" x14ac:dyDescent="0.35">
      <c r="A60" t="s">
        <v>30</v>
      </c>
      <c r="B60" s="27">
        <f>SUM(B55:B59)</f>
        <v>0</v>
      </c>
      <c r="C60" s="27">
        <f t="shared" ref="C60" si="6">SUM(C55:C59)</f>
        <v>0</v>
      </c>
      <c r="D60" s="27">
        <f t="shared" ref="D60" si="7">SUM(D55:D59)</f>
        <v>0</v>
      </c>
      <c r="E60" s="27">
        <f t="shared" ref="E60" si="8">SUM(E55:E59)</f>
        <v>0</v>
      </c>
      <c r="F60" s="27">
        <f t="shared" ref="F60" si="9">SUM(F55:F59)</f>
        <v>0</v>
      </c>
      <c r="G60" s="27">
        <f t="shared" ref="G60" si="10">SUM(G55:G59)</f>
        <v>0</v>
      </c>
      <c r="H60" s="27">
        <f t="shared" ref="H60" si="11">SUM(H55:H59)</f>
        <v>0</v>
      </c>
      <c r="I60" s="27">
        <f t="shared" ref="I60" si="12">SUM(I55:I59)</f>
        <v>0</v>
      </c>
    </row>
    <row r="61" spans="1:33" ht="15" thickTop="1" x14ac:dyDescent="0.3"/>
  </sheetData>
  <sheetProtection algorithmName="SHA-512" hashValue="zh4Fejf5yDbN4NZUn1nf4cP4GIandFyECWLadJuqPmGiVykHrgVwesCm3fHm4DxBVZSI74Bz27qp2iTCp3b/BA==" saltValue="ckm1Z+rTTEmp4IosUaP7sg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Invoer en uitkomst</vt:lpstr>
      <vt:lpstr>Rekenblad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Berg, Peter van den (AgroEnerg)</dc:creator>
  <cp:lastModifiedBy>Alexander Formsma</cp:lastModifiedBy>
  <dcterms:created xsi:type="dcterms:W3CDTF">2023-02-27T07:47:35Z</dcterms:created>
  <dcterms:modified xsi:type="dcterms:W3CDTF">2024-09-18T12:58:52Z</dcterms:modified>
</cp:coreProperties>
</file>